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6405" activeTab="4"/>
  </bookViews>
  <sheets>
    <sheet name="sopa" sheetId="1" r:id="rId1"/>
    <sheet name="prato principal" sheetId="3" r:id="rId2"/>
    <sheet name="sobremesa" sheetId="4" r:id="rId3"/>
    <sheet name="salada" sheetId="2" r:id="rId4"/>
    <sheet name="TOTAL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L11" i="3" s="1"/>
  <c r="Q11" i="3"/>
  <c r="G10" i="3"/>
  <c r="L10" i="3" s="1"/>
  <c r="Q10" i="3"/>
  <c r="Q6" i="4"/>
  <c r="N6" i="4"/>
  <c r="Q5" i="4"/>
  <c r="Q7" i="4" s="1"/>
  <c r="Q8" i="4" s="1"/>
  <c r="G5" i="4"/>
  <c r="L5" i="4" s="1"/>
  <c r="Q12" i="3"/>
  <c r="G12" i="3"/>
  <c r="N12" i="3" s="1"/>
  <c r="Q9" i="3"/>
  <c r="G9" i="3"/>
  <c r="L9" i="3" s="1"/>
  <c r="Q8" i="3"/>
  <c r="G8" i="3"/>
  <c r="N8" i="3" s="1"/>
  <c r="Q7" i="3"/>
  <c r="G7" i="3"/>
  <c r="L7" i="3" s="1"/>
  <c r="Q6" i="3"/>
  <c r="G6" i="3"/>
  <c r="N6" i="3" s="1"/>
  <c r="Q5" i="3"/>
  <c r="G5" i="3"/>
  <c r="L5" i="3" s="1"/>
  <c r="Q10" i="2"/>
  <c r="G6" i="5" s="1"/>
  <c r="G10" i="2"/>
  <c r="N10" i="2" s="1"/>
  <c r="E6" i="5" s="1"/>
  <c r="Q9" i="2"/>
  <c r="G9" i="2"/>
  <c r="O9" i="2" s="1"/>
  <c r="Q8" i="2"/>
  <c r="G8" i="2"/>
  <c r="N8" i="2" s="1"/>
  <c r="Q7" i="2"/>
  <c r="G7" i="2"/>
  <c r="O7" i="2" s="1"/>
  <c r="Q6" i="2"/>
  <c r="G6" i="2"/>
  <c r="N6" i="2" s="1"/>
  <c r="Q5" i="2"/>
  <c r="Q11" i="2" s="1"/>
  <c r="Q12" i="2" s="1"/>
  <c r="G5" i="2"/>
  <c r="O5" i="2" s="1"/>
  <c r="Q5" i="1"/>
  <c r="Q6" i="1"/>
  <c r="Q7" i="1"/>
  <c r="Q8" i="1"/>
  <c r="Q9" i="1"/>
  <c r="G5" i="1"/>
  <c r="L5" i="1" s="1"/>
  <c r="G6" i="1"/>
  <c r="L6" i="1" s="1"/>
  <c r="G7" i="1"/>
  <c r="L7" i="1" s="1"/>
  <c r="G8" i="1"/>
  <c r="M8" i="1" s="1"/>
  <c r="G9" i="1"/>
  <c r="O9" i="1" s="1"/>
  <c r="G8" i="5" l="1"/>
  <c r="Q13" i="3"/>
  <c r="G7" i="5" s="1"/>
  <c r="L9" i="2"/>
  <c r="O11" i="3"/>
  <c r="M11" i="3"/>
  <c r="N11" i="3"/>
  <c r="O10" i="3"/>
  <c r="N10" i="3"/>
  <c r="M10" i="3"/>
  <c r="M5" i="3"/>
  <c r="M5" i="4"/>
  <c r="N5" i="4"/>
  <c r="N7" i="4" s="1"/>
  <c r="E8" i="5" s="1"/>
  <c r="M9" i="3"/>
  <c r="M7" i="3"/>
  <c r="M7" i="2"/>
  <c r="N9" i="2"/>
  <c r="L7" i="2"/>
  <c r="M9" i="2"/>
  <c r="N7" i="2"/>
  <c r="L6" i="4"/>
  <c r="O5" i="4"/>
  <c r="M6" i="4"/>
  <c r="O6" i="4"/>
  <c r="N5" i="3"/>
  <c r="L6" i="3"/>
  <c r="N7" i="3"/>
  <c r="L8" i="3"/>
  <c r="N9" i="3"/>
  <c r="L12" i="3"/>
  <c r="O8" i="3"/>
  <c r="O5" i="3"/>
  <c r="M6" i="3"/>
  <c r="O7" i="3"/>
  <c r="M8" i="3"/>
  <c r="O9" i="3"/>
  <c r="M12" i="3"/>
  <c r="O6" i="3"/>
  <c r="O12" i="3"/>
  <c r="M5" i="2"/>
  <c r="L5" i="2"/>
  <c r="N5" i="2"/>
  <c r="O6" i="2"/>
  <c r="O10" i="2"/>
  <c r="F6" i="5" s="1"/>
  <c r="L6" i="2"/>
  <c r="M6" i="2"/>
  <c r="M8" i="2"/>
  <c r="M10" i="2"/>
  <c r="D6" i="5" s="1"/>
  <c r="O8" i="2"/>
  <c r="L8" i="2"/>
  <c r="L10" i="2"/>
  <c r="C6" i="5" s="1"/>
  <c r="Q10" i="1"/>
  <c r="G5" i="5" s="1"/>
  <c r="L9" i="1"/>
  <c r="O8" i="1"/>
  <c r="N8" i="1"/>
  <c r="N9" i="1"/>
  <c r="L8" i="1"/>
  <c r="M9" i="1"/>
  <c r="O7" i="1"/>
  <c r="N7" i="1"/>
  <c r="O6" i="1"/>
  <c r="M7" i="1"/>
  <c r="M5" i="1"/>
  <c r="N6" i="1"/>
  <c r="N5" i="1"/>
  <c r="M6" i="1"/>
  <c r="O5" i="1"/>
  <c r="N11" i="2" l="1"/>
  <c r="Q14" i="3"/>
  <c r="M11" i="2"/>
  <c r="N8" i="4"/>
  <c r="M7" i="4"/>
  <c r="D8" i="5" s="1"/>
  <c r="L7" i="4"/>
  <c r="C8" i="5" s="1"/>
  <c r="M13" i="3"/>
  <c r="D7" i="5" s="1"/>
  <c r="L13" i="3"/>
  <c r="C7" i="5" s="1"/>
  <c r="O11" i="2"/>
  <c r="L11" i="2"/>
  <c r="N12" i="2"/>
  <c r="G9" i="5"/>
  <c r="G10" i="5" s="1"/>
  <c r="Q11" i="1"/>
  <c r="O7" i="4"/>
  <c r="F8" i="5" s="1"/>
  <c r="N13" i="3"/>
  <c r="E7" i="5" s="1"/>
  <c r="O13" i="3"/>
  <c r="F7" i="5" s="1"/>
  <c r="N10" i="1"/>
  <c r="E5" i="5" s="1"/>
  <c r="L10" i="1"/>
  <c r="C5" i="5" s="1"/>
  <c r="O10" i="1"/>
  <c r="F5" i="5" s="1"/>
  <c r="M10" i="1"/>
  <c r="D5" i="5" s="1"/>
  <c r="M12" i="2" l="1"/>
  <c r="M8" i="4"/>
  <c r="L8" i="4"/>
  <c r="O8" i="4"/>
  <c r="N14" i="3"/>
  <c r="M14" i="3"/>
  <c r="L14" i="3"/>
  <c r="O14" i="3"/>
  <c r="O12" i="2"/>
  <c r="L12" i="2"/>
  <c r="C9" i="5"/>
  <c r="C10" i="5" s="1"/>
  <c r="F9" i="5"/>
  <c r="F10" i="5" s="1"/>
  <c r="D9" i="5"/>
  <c r="D10" i="5" s="1"/>
  <c r="E9" i="5"/>
  <c r="E10" i="5" s="1"/>
  <c r="L11" i="1"/>
  <c r="O11" i="1"/>
  <c r="M11" i="1"/>
  <c r="N11" i="1"/>
</calcChain>
</file>

<file path=xl/sharedStrings.xml><?xml version="1.0" encoding="utf-8"?>
<sst xmlns="http://schemas.openxmlformats.org/spreadsheetml/2006/main" count="104" uniqueCount="45">
  <si>
    <t>ingredientes</t>
  </si>
  <si>
    <t>unidade</t>
  </si>
  <si>
    <t>kcal</t>
  </si>
  <si>
    <t>cebola</t>
  </si>
  <si>
    <t>peso unitário (g)</t>
  </si>
  <si>
    <t>alimento a ser comido</t>
  </si>
  <si>
    <t>batatas</t>
  </si>
  <si>
    <t>peso a considerar (g)</t>
  </si>
  <si>
    <t>kcal
(100g)</t>
  </si>
  <si>
    <t>proteínas
(100g)</t>
  </si>
  <si>
    <t>lípidos
(100g)</t>
  </si>
  <si>
    <t>hidrocarbonetos
(100g)</t>
  </si>
  <si>
    <t>hidrocarbonetos
(g)</t>
  </si>
  <si>
    <t>proteínas
(g)</t>
  </si>
  <si>
    <t>lípidos
(g)</t>
  </si>
  <si>
    <t>€/ kg</t>
  </si>
  <si>
    <t>€</t>
  </si>
  <si>
    <t xml:space="preserve">Cálculo do Valor Energético e Custo - Sopa </t>
  </si>
  <si>
    <t>tomate</t>
  </si>
  <si>
    <t>azeite</t>
  </si>
  <si>
    <t>valores retirados da tabela de composição dos alimentos do Instituto Nacional de Saúde Dr. Ricardo Jorge</t>
  </si>
  <si>
    <t>Total do prato</t>
  </si>
  <si>
    <t>Total do prato/pessoa</t>
  </si>
  <si>
    <t>Total do prato /pessoa</t>
  </si>
  <si>
    <t>Total da sobremesa</t>
  </si>
  <si>
    <t>Total da sobremesa/pessoa</t>
  </si>
  <si>
    <t>Cálculo do Valor Energético e Custo - Sobremesa</t>
  </si>
  <si>
    <t>Cálculo do Valor Energético e Custo - Salada</t>
  </si>
  <si>
    <t>Cálculo do Valor Energético e Custo - Prato</t>
  </si>
  <si>
    <t>sopa</t>
  </si>
  <si>
    <t>salada</t>
  </si>
  <si>
    <t>sobremesa</t>
  </si>
  <si>
    <t>Total da refeição</t>
  </si>
  <si>
    <t>Total da refeição/pessoa</t>
  </si>
  <si>
    <t>Cálculo do Valor Energético e Custo - TOTAL</t>
  </si>
  <si>
    <t>prato</t>
  </si>
  <si>
    <t>cenouras</t>
  </si>
  <si>
    <t>espinafres</t>
  </si>
  <si>
    <t>azeite virgem</t>
  </si>
  <si>
    <t>beringela</t>
  </si>
  <si>
    <t>pimento vermelho</t>
  </si>
  <si>
    <t>alho</t>
  </si>
  <si>
    <t>courgette</t>
  </si>
  <si>
    <t>arroz</t>
  </si>
  <si>
    <t>Morango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</si>
</sst>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0" xfId="0" applyFill="1"/>
    <xf numFmtId="44" fontId="2" fillId="0" borderId="0" xfId="1" applyFont="1" applyAlignment="1">
      <alignment horizontal="center" vertical="center"/>
    </xf>
    <xf numFmtId="44" fontId="2" fillId="3" borderId="0" xfId="0" applyNumberFormat="1" applyFont="1" applyFill="1" applyAlignment="1">
      <alignment horizontal="center" vertical="center"/>
    </xf>
    <xf numFmtId="44" fontId="2" fillId="3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0" fontId="0" fillId="2" borderId="0" xfId="0" applyFill="1"/>
  </cellXfs>
  <cellStyles count="3">
    <cellStyle name="Moeda" xfId="1" builtinId="4"/>
    <cellStyle name="Normal" xfId="0" builtinId="0"/>
    <cellStyle name="Porcentagem" xfId="2" builtinId="5"/>
  </cellStyles>
  <dxfs count="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numFmt numFmtId="164" formatCode="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numFmt numFmtId="164" formatCode="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numFmt numFmtId="164" formatCode="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numFmt numFmtId="164" formatCode="0.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rgb="FF000000"/>
          <bgColor rgb="FFF8CBAD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rgb="FF000000"/>
          <bgColor rgb="FFF8CBAD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rgb="FF000000"/>
          <bgColor rgb="FFF8CBAD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rgb="FF000000"/>
          <bgColor rgb="FFF8CBAD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relativeIndent="0" justifyLastLine="0" shrinkToFit="0" readingOrder="0"/>
    </dxf>
    <dxf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Sopa" displayName="tSopa" ref="C4:Q10" totalsRowCount="1" headerRowDxfId="109" dataDxfId="108" totalsRowDxfId="107">
  <tableColumns count="15">
    <tableColumn id="1" name="ingredientes" totalsRowLabel="Total do prato" totalsRowDxfId="106"/>
    <tableColumn id="2" name="unidade" totalsRowDxfId="105"/>
    <tableColumn id="3" name="peso unitário (g)" totalsRowDxfId="104"/>
    <tableColumn id="4" name="alimento a ser comido" totalsRowDxfId="103"/>
    <tableColumn id="5" name="peso a considerar (g)" dataDxfId="102" totalsRowDxfId="101">
      <calculatedColumnFormula>tSopa[[#This Row],[unidade]]*tSopa[[#This Row],[peso unitário (g)]]*tSopa[[#This Row],[alimento a ser comido]]</calculatedColumnFormula>
    </tableColumn>
    <tableColumn id="6" name="kcal_x000a_(100g)" totalsRowDxfId="100"/>
    <tableColumn id="7" name="hidrocarbonetos_x000a_(100g)" totalsRowDxfId="99"/>
    <tableColumn id="8" name="proteínas_x000a_(100g)" totalsRowDxfId="98"/>
    <tableColumn id="9" name="lípidos_x000a_(100g)" totalsRowDxfId="97"/>
    <tableColumn id="13" name="kcal" totalsRowFunction="sum" dataDxfId="96" totalsRowDxfId="95">
      <calculatedColumnFormula>tSopa[peso a considerar (g)]*tSopa[kcal
(100g)]/100</calculatedColumnFormula>
    </tableColumn>
    <tableColumn id="10" name="hidrocarbonetos_x000a_(g)" totalsRowFunction="sum" dataDxfId="94" totalsRowDxfId="93">
      <calculatedColumnFormula>tSopa[peso a considerar (g)]*tSopa[hidrocarbonetos
(100g)]/100</calculatedColumnFormula>
    </tableColumn>
    <tableColumn id="11" name="proteínas_x000a_(g)" totalsRowFunction="sum" dataDxfId="92" totalsRowDxfId="91">
      <calculatedColumnFormula>tSopa[peso a considerar (g)]*tSopa[proteínas
(100g)]/100</calculatedColumnFormula>
    </tableColumn>
    <tableColumn id="12" name="lípidos_x000a_(g)" totalsRowFunction="sum" dataDxfId="90" totalsRowDxfId="89">
      <calculatedColumnFormula>tSopa[peso a considerar (g)]*tSopa[lípidos
(100g)]/100</calculatedColumnFormula>
    </tableColumn>
    <tableColumn id="14" name="€/ kg" totalsRowDxfId="88"/>
    <tableColumn id="15" name="€" totalsRowFunction="sum" dataDxfId="87" totalsRowDxfId="86">
      <calculatedColumnFormula>tSopa[[#This Row],[€/ kg]]*tSopa[[#This Row],[unidade]]*tSopa[[#This Row],[peso unitário (g)]]/1000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Prato" displayName="tPrato" ref="C4:Q13" totalsRowCount="1" headerRowDxfId="85" dataDxfId="84" totalsRowDxfId="83">
  <tableColumns count="15">
    <tableColumn id="1" name="ingredientes" totalsRowLabel="Total do prato" totalsRowDxfId="82"/>
    <tableColumn id="2" name="unidade" totalsRowDxfId="81"/>
    <tableColumn id="3" name="peso unitário (g)" totalsRowDxfId="80"/>
    <tableColumn id="4" name="alimento a ser comido" totalsRowDxfId="79"/>
    <tableColumn id="5" name="peso a considerar (g)" dataDxfId="78" totalsRowDxfId="77">
      <calculatedColumnFormula>tPrato[[#This Row],[unidade]]*tPrato[[#This Row],[peso unitário (g)]]*tPrato[[#This Row],[alimento a ser comido]]</calculatedColumnFormula>
    </tableColumn>
    <tableColumn id="6" name="kcal_x000a_(100g)" totalsRowDxfId="76"/>
    <tableColumn id="7" name="hidrocarbonetos_x000a_(100g)" totalsRowDxfId="75"/>
    <tableColumn id="8" name="proteínas_x000a_(100g)" totalsRowDxfId="74"/>
    <tableColumn id="9" name="lípidos_x000a_(100g)" totalsRowDxfId="73"/>
    <tableColumn id="13" name="kcal" totalsRowFunction="sum" dataDxfId="72" totalsRowDxfId="71">
      <calculatedColumnFormula>tPrato[peso a considerar (g)]*tPrato[kcal
(100g)]/100</calculatedColumnFormula>
    </tableColumn>
    <tableColumn id="10" name="hidrocarbonetos_x000a_(g)" totalsRowFunction="sum" dataDxfId="70" totalsRowDxfId="69">
      <calculatedColumnFormula>tPrato[peso a considerar (g)]*tPrato[hidrocarbonetos
(100g)]/100</calculatedColumnFormula>
    </tableColumn>
    <tableColumn id="11" name="proteínas_x000a_(g)" totalsRowFunction="sum" dataDxfId="68" totalsRowDxfId="67">
      <calculatedColumnFormula>tPrato[peso a considerar (g)]*tPrato[proteínas
(100g)]/100</calculatedColumnFormula>
    </tableColumn>
    <tableColumn id="12" name="lípidos_x000a_(g)" totalsRowFunction="sum" dataDxfId="66" totalsRowDxfId="65">
      <calculatedColumnFormula>tPrato[peso a considerar (g)]*tPrato[lípidos
(100g)]/100</calculatedColumnFormula>
    </tableColumn>
    <tableColumn id="14" name="€/ kg" totalsRowDxfId="64"/>
    <tableColumn id="15" name="€" totalsRowFunction="sum" dataDxfId="63" totalsRowDxfId="62">
      <calculatedColumnFormula>tPrato[[#This Row],[€/ kg]]*tPrato[[#This Row],[unidade]]*tPrato[[#This Row],[peso unitário (g)]]/1000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Sobremesa" displayName="tSobremesa" ref="C4:Q7" totalsRowCount="1" headerRowDxfId="61" dataDxfId="60" totalsRowDxfId="59">
  <tableColumns count="15">
    <tableColumn id="1" name="ingredientes" totalsRowLabel="Total da sobremesa" totalsRowDxfId="14"/>
    <tableColumn id="2" name="unidade" totalsRowDxfId="13"/>
    <tableColumn id="3" name="peso unitário (g)" totalsRowDxfId="12"/>
    <tableColumn id="4" name="alimento a ser comido" totalsRowDxfId="11"/>
    <tableColumn id="5" name="peso a considerar (g)" dataDxfId="58" totalsRowDxfId="10">
      <calculatedColumnFormula>tSobremesa[[#This Row],[unidade]]*tSobremesa[[#This Row],[peso unitário (g)]]*tSobremesa[[#This Row],[alimento a ser comido]]</calculatedColumnFormula>
    </tableColumn>
    <tableColumn id="6" name="kcal_x000a_(100g)" totalsRowDxfId="9"/>
    <tableColumn id="7" name="hidrocarbonetos_x000a_(100g)" totalsRowDxfId="8"/>
    <tableColumn id="8" name="proteínas_x000a_(100g)" totalsRowDxfId="7"/>
    <tableColumn id="9" name="lípidos_x000a_(100g)" totalsRowDxfId="6"/>
    <tableColumn id="13" name="kcal" totalsRowFunction="sum" dataDxfId="57" totalsRowDxfId="5">
      <calculatedColumnFormula>tSobremesa[peso a considerar (g)]*tSobremesa[kcal
(100g)]/100</calculatedColumnFormula>
    </tableColumn>
    <tableColumn id="10" name="hidrocarbonetos_x000a_(g)" totalsRowFunction="sum" dataDxfId="56" totalsRowDxfId="4">
      <calculatedColumnFormula>tSobremesa[peso a considerar (g)]*tSobremesa[hidrocarbonetos
(100g)]/100</calculatedColumnFormula>
    </tableColumn>
    <tableColumn id="11" name="proteínas_x000a_(g)" totalsRowFunction="sum" dataDxfId="55" totalsRowDxfId="3">
      <calculatedColumnFormula>tSobremesa[peso a considerar (g)]*tSobremesa[proteínas
(100g)]/100</calculatedColumnFormula>
    </tableColumn>
    <tableColumn id="12" name="lípidos_x000a_(g)" totalsRowFunction="sum" dataDxfId="54" totalsRowDxfId="2">
      <calculatedColumnFormula>tSobremesa[peso a considerar (g)]*tSobremesa[lípidos
(100g)]/100</calculatedColumnFormula>
    </tableColumn>
    <tableColumn id="14" name="€/ kg" totalsRowDxfId="1"/>
    <tableColumn id="15" name="€" totalsRowFunction="sum" dataDxfId="53" totalsRowDxfId="0">
      <calculatedColumnFormula>tSobremesa[[#This Row],[€/ kg]]*tSobremesa[[#This Row],[unidade]]*tSobremesa[[#This Row],[peso unitário (g)]]/1000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Salada" displayName="tSalada" ref="C4:Q11" totalsRowCount="1" headerRowDxfId="52" dataDxfId="51" totalsRowDxfId="50">
  <tableColumns count="15">
    <tableColumn id="1" name="ingredientes" totalsRowLabel="Total do prato" totalsRowDxfId="49"/>
    <tableColumn id="2" name="unidade" totalsRowDxfId="48"/>
    <tableColumn id="3" name="peso unitário (g)" totalsRowDxfId="47"/>
    <tableColumn id="4" name="alimento a ser comido" totalsRowDxfId="46"/>
    <tableColumn id="5" name="peso a considerar (g)" dataDxfId="45" totalsRowDxfId="44">
      <calculatedColumnFormula>tSalada[[#This Row],[unidade]]*tSalada[[#This Row],[peso unitário (g)]]*tSalada[[#This Row],[alimento a ser comido]]</calculatedColumnFormula>
    </tableColumn>
    <tableColumn id="6" name="kcal_x000a_(100g)" totalsRowDxfId="43"/>
    <tableColumn id="7" name="hidrocarbonetos_x000a_(100g)" totalsRowDxfId="42"/>
    <tableColumn id="8" name="proteínas_x000a_(100g)" totalsRowDxfId="41"/>
    <tableColumn id="9" name="lípidos_x000a_(100g)" totalsRowDxfId="40"/>
    <tableColumn id="13" name="kcal" totalsRowFunction="sum" dataDxfId="39" totalsRowDxfId="38">
      <calculatedColumnFormula>tSalada[peso a considerar (g)]*tSalada[kcal
(100g)]/100</calculatedColumnFormula>
    </tableColumn>
    <tableColumn id="10" name="hidrocarbonetos_x000a_(g)" totalsRowFunction="sum" dataDxfId="37" totalsRowDxfId="36">
      <calculatedColumnFormula>tSalada[peso a considerar (g)]*tSalada[hidrocarbonetos
(100g)]/100</calculatedColumnFormula>
    </tableColumn>
    <tableColumn id="11" name="proteínas_x000a_(g)" totalsRowFunction="sum" dataDxfId="35" totalsRowDxfId="34">
      <calculatedColumnFormula>tSalada[peso a considerar (g)]*tSalada[proteínas
(100g)]/100</calculatedColumnFormula>
    </tableColumn>
    <tableColumn id="12" name="lípidos_x000a_(g)" totalsRowFunction="sum" dataDxfId="33" totalsRowDxfId="32">
      <calculatedColumnFormula>tSalada[peso a considerar (g)]*tSalada[lípidos
(100g)]/100</calculatedColumnFormula>
    </tableColumn>
    <tableColumn id="14" name="€/ kg" totalsRowDxfId="31"/>
    <tableColumn id="15" name="€" totalsRowFunction="sum" dataDxfId="30" totalsRowDxfId="29">
      <calculatedColumnFormula>tSalada[[#This Row],[€/ kg]]*tSalada[[#This Row],[unidade]]*tSalada[[#This Row],[peso unitário (g)]]/1000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Total" displayName="tTotal" ref="B4:G9" totalsRowCount="1" headerRowDxfId="28" dataDxfId="27" totalsRowDxfId="26">
  <tableColumns count="6">
    <tableColumn id="1" name="ingredientes" totalsRowLabel="Total da refeição" totalsRowDxfId="25"/>
    <tableColumn id="13" name="kcal" totalsRowFunction="sum" dataDxfId="24" totalsRowDxfId="23">
      <calculatedColumnFormula>INDIRECT("t"&amp;tTotal[[#This Row],[ingredientes]]&amp;"[[#Totals];["&amp;C$4&amp;"]]")</calculatedColumnFormula>
    </tableColumn>
    <tableColumn id="10" name="hidrocarbonetos_x000a_(g)" totalsRowFunction="sum" dataDxfId="22" totalsRowDxfId="21">
      <calculatedColumnFormula>INDIRECT("t"&amp;tTotal[[#This Row],[ingredientes]]&amp;"[[#Totals];["&amp;D$4&amp;"]]")</calculatedColumnFormula>
    </tableColumn>
    <tableColumn id="11" name="proteínas_x000a_(g)" totalsRowFunction="sum" dataDxfId="20" totalsRowDxfId="19">
      <calculatedColumnFormula>INDIRECT("t"&amp;tTotal[[#This Row],[ingredientes]]&amp;"[[#Totals];["&amp;E$4&amp;"]]")</calculatedColumnFormula>
    </tableColumn>
    <tableColumn id="12" name="lípidos_x000a_(g)" totalsRowFunction="sum" dataDxfId="18" totalsRowDxfId="17">
      <calculatedColumnFormula>INDIRECT("t"&amp;tTotal[[#This Row],[ingredientes]]&amp;"[[#Totals];["&amp;F$4&amp;"]]")</calculatedColumnFormula>
    </tableColumn>
    <tableColumn id="15" name="€" totalsRowFunction="sum" dataDxfId="16" totalsRowDxfId="15">
      <calculatedColumnFormula>INDIRECT("t"&amp;tTotal[[#This Row],[ingredientes]]&amp;"[[#Totals];["&amp;G$4&amp;"]]")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3"/>
  <sheetViews>
    <sheetView showGridLines="0" topLeftCell="C1" zoomScale="80" zoomScaleNormal="80" workbookViewId="0">
      <selection activeCell="O9" sqref="O9"/>
    </sheetView>
  </sheetViews>
  <sheetFormatPr defaultRowHeight="15" x14ac:dyDescent="0.25"/>
  <cols>
    <col min="1" max="1" width="15.42578125" customWidth="1"/>
    <col min="2" max="2" width="2.85546875" customWidth="1"/>
    <col min="3" max="3" width="21" customWidth="1"/>
    <col min="4" max="5" width="13.42578125" customWidth="1"/>
    <col min="6" max="6" width="16.42578125" customWidth="1"/>
    <col min="7" max="7" width="13.42578125" customWidth="1"/>
    <col min="8" max="11" width="15" customWidth="1"/>
    <col min="12" max="15" width="15.7109375" customWidth="1"/>
  </cols>
  <sheetData>
    <row r="2" spans="2:17" x14ac:dyDescent="0.25">
      <c r="C2" s="7" t="s">
        <v>17</v>
      </c>
    </row>
    <row r="4" spans="2:17" ht="30" customHeight="1" x14ac:dyDescent="0.25">
      <c r="C4" s="3" t="s">
        <v>0</v>
      </c>
      <c r="D4" s="3" t="s">
        <v>1</v>
      </c>
      <c r="E4" s="3" t="s">
        <v>4</v>
      </c>
      <c r="F4" s="3" t="s">
        <v>5</v>
      </c>
      <c r="G4" s="6" t="s">
        <v>7</v>
      </c>
      <c r="H4" s="3" t="s">
        <v>8</v>
      </c>
      <c r="I4" s="3" t="s">
        <v>11</v>
      </c>
      <c r="J4" s="3" t="s">
        <v>9</v>
      </c>
      <c r="K4" s="3" t="s">
        <v>10</v>
      </c>
      <c r="L4" s="6" t="s">
        <v>2</v>
      </c>
      <c r="M4" s="6" t="s">
        <v>12</v>
      </c>
      <c r="N4" s="6" t="s">
        <v>13</v>
      </c>
      <c r="O4" s="6" t="s">
        <v>14</v>
      </c>
      <c r="P4" s="3" t="s">
        <v>15</v>
      </c>
      <c r="Q4" s="6" t="s">
        <v>16</v>
      </c>
    </row>
    <row r="5" spans="2:17" x14ac:dyDescent="0.25">
      <c r="C5" s="2" t="s">
        <v>3</v>
      </c>
      <c r="D5" s="2">
        <v>2</v>
      </c>
      <c r="E5" s="2">
        <v>150</v>
      </c>
      <c r="F5" s="5">
        <v>0.89</v>
      </c>
      <c r="G5" s="18">
        <f>tSopa[[#This Row],[unidade]]*tSopa[[#This Row],[peso unitário (g)]]*tSopa[[#This Row],[alimento a ser comido]]</f>
        <v>267</v>
      </c>
      <c r="H5" s="4">
        <v>20</v>
      </c>
      <c r="I5" s="4">
        <v>2.4</v>
      </c>
      <c r="J5" s="4">
        <v>1</v>
      </c>
      <c r="K5" s="4">
        <v>0.2</v>
      </c>
      <c r="L5" s="18">
        <f>tSopa[peso a considerar (g)]*tSopa[kcal
(100g)]/100</f>
        <v>53.4</v>
      </c>
      <c r="M5" s="18">
        <f>tSopa[peso a considerar (g)]*tSopa[hidrocarbonetos
(100g)]/100</f>
        <v>6.4079999999999995</v>
      </c>
      <c r="N5" s="18">
        <f>tSopa[peso a considerar (g)]*tSopa[proteínas
(100g)]/100</f>
        <v>2.67</v>
      </c>
      <c r="O5" s="18">
        <f>tSopa[peso a considerar (g)]*tSopa[lípidos
(100g)]/100</f>
        <v>0.53400000000000003</v>
      </c>
      <c r="P5" s="14">
        <v>0.86</v>
      </c>
      <c r="Q5" s="14">
        <f>tSopa[[#This Row],[€/ kg]]*tSopa[[#This Row],[unidade]]*tSopa[[#This Row],[peso unitário (g)]]/1000</f>
        <v>0.25800000000000001</v>
      </c>
    </row>
    <row r="6" spans="2:17" x14ac:dyDescent="0.25">
      <c r="C6" s="2" t="s">
        <v>6</v>
      </c>
      <c r="D6" s="2">
        <v>4</v>
      </c>
      <c r="E6" s="2">
        <v>100</v>
      </c>
      <c r="F6" s="5">
        <v>0.87</v>
      </c>
      <c r="G6" s="18">
        <f>tSopa[[#This Row],[unidade]]*tSopa[[#This Row],[peso unitário (g)]]*tSopa[[#This Row],[alimento a ser comido]]</f>
        <v>348</v>
      </c>
      <c r="H6" s="4">
        <v>90</v>
      </c>
      <c r="I6" s="4">
        <v>18.5</v>
      </c>
      <c r="J6" s="4">
        <v>2.4</v>
      </c>
      <c r="K6" s="4">
        <v>0</v>
      </c>
      <c r="L6" s="18">
        <f>tSopa[peso a considerar (g)]*tSopa[kcal
(100g)]/100</f>
        <v>313.2</v>
      </c>
      <c r="M6" s="18">
        <f>tSopa[peso a considerar (g)]*tSopa[hidrocarbonetos
(100g)]/100</f>
        <v>64.38</v>
      </c>
      <c r="N6" s="18">
        <f>tSopa[peso a considerar (g)]*tSopa[proteínas
(100g)]/100</f>
        <v>8.3519999999999985</v>
      </c>
      <c r="O6" s="18">
        <f>tSopa[peso a considerar (g)]*tSopa[lípidos
(100g)]/100</f>
        <v>0</v>
      </c>
      <c r="P6" s="14">
        <v>1.0900000000000001</v>
      </c>
      <c r="Q6" s="14">
        <f>tSopa[[#This Row],[€/ kg]]*tSopa[[#This Row],[unidade]]*tSopa[[#This Row],[peso unitário (g)]]/1000</f>
        <v>0.43600000000000005</v>
      </c>
    </row>
    <row r="7" spans="2:17" x14ac:dyDescent="0.25">
      <c r="C7" s="2" t="s">
        <v>36</v>
      </c>
      <c r="D7" s="2">
        <v>4</v>
      </c>
      <c r="E7" s="2">
        <v>80</v>
      </c>
      <c r="F7" s="5">
        <v>0.85</v>
      </c>
      <c r="G7" s="18">
        <f>tSopa[[#This Row],[unidade]]*tSopa[[#This Row],[peso unitário (g)]]*tSopa[[#This Row],[alimento a ser comido]]</f>
        <v>272</v>
      </c>
      <c r="H7" s="4">
        <v>25</v>
      </c>
      <c r="I7" s="4">
        <v>3.6</v>
      </c>
      <c r="J7" s="4">
        <v>0.7</v>
      </c>
      <c r="K7" s="4">
        <v>0</v>
      </c>
      <c r="L7" s="18">
        <f>tSopa[peso a considerar (g)]*tSopa[kcal
(100g)]/100</f>
        <v>68</v>
      </c>
      <c r="M7" s="18">
        <f>tSopa[peso a considerar (g)]*tSopa[hidrocarbonetos
(100g)]/100</f>
        <v>9.7919999999999998</v>
      </c>
      <c r="N7" s="18">
        <f>tSopa[peso a considerar (g)]*tSopa[proteínas
(100g)]/100</f>
        <v>1.9039999999999997</v>
      </c>
      <c r="O7" s="18">
        <f>tSopa[peso a considerar (g)]*tSopa[lípidos
(100g)]/100</f>
        <v>0</v>
      </c>
      <c r="P7" s="14">
        <v>0.57999999999999996</v>
      </c>
      <c r="Q7" s="14">
        <f>tSopa[[#This Row],[€/ kg]]*tSopa[[#This Row],[unidade]]*tSopa[[#This Row],[peso unitário (g)]]/1000</f>
        <v>0.18559999999999999</v>
      </c>
    </row>
    <row r="8" spans="2:17" x14ac:dyDescent="0.25">
      <c r="C8" s="2" t="s">
        <v>37</v>
      </c>
      <c r="D8" s="2">
        <v>10</v>
      </c>
      <c r="E8" s="2">
        <v>25</v>
      </c>
      <c r="F8" s="5">
        <v>0.8</v>
      </c>
      <c r="G8" s="18">
        <f>tSopa[[#This Row],[unidade]]*tSopa[[#This Row],[peso unitário (g)]]*tSopa[[#This Row],[alimento a ser comido]]</f>
        <v>200</v>
      </c>
      <c r="H8" s="4">
        <v>27</v>
      </c>
      <c r="I8" s="4">
        <v>0.8</v>
      </c>
      <c r="J8" s="4">
        <v>2.6</v>
      </c>
      <c r="K8" s="4">
        <v>0.9</v>
      </c>
      <c r="L8" s="18">
        <f>tSopa[peso a considerar (g)]*tSopa[kcal
(100g)]/100</f>
        <v>54</v>
      </c>
      <c r="M8" s="18">
        <f>tSopa[peso a considerar (g)]*tSopa[hidrocarbonetos
(100g)]/100</f>
        <v>1.6</v>
      </c>
      <c r="N8" s="18">
        <f>tSopa[peso a considerar (g)]*tSopa[proteínas
(100g)]/100</f>
        <v>5.2</v>
      </c>
      <c r="O8" s="18">
        <f>tSopa[peso a considerar (g)]*tSopa[lípidos
(100g)]/100</f>
        <v>1.8</v>
      </c>
      <c r="P8" s="14">
        <v>1.32</v>
      </c>
      <c r="Q8" s="14">
        <f>tSopa[[#This Row],[€/ kg]]*tSopa[[#This Row],[unidade]]*tSopa[[#This Row],[peso unitário (g)]]/1000</f>
        <v>0.33</v>
      </c>
    </row>
    <row r="9" spans="2:17" x14ac:dyDescent="0.25">
      <c r="C9" s="2" t="s">
        <v>38</v>
      </c>
      <c r="D9" s="2">
        <v>1</v>
      </c>
      <c r="E9" s="2">
        <v>5</v>
      </c>
      <c r="F9" s="5">
        <v>1</v>
      </c>
      <c r="G9" s="18">
        <f>tSopa[[#This Row],[unidade]]*tSopa[[#This Row],[peso unitário (g)]]*tSopa[[#This Row],[alimento a ser comido]]</f>
        <v>5</v>
      </c>
      <c r="H9" s="4">
        <v>900</v>
      </c>
      <c r="I9" s="4">
        <v>0</v>
      </c>
      <c r="J9" s="4">
        <v>0.1</v>
      </c>
      <c r="K9" s="4">
        <v>99.9</v>
      </c>
      <c r="L9" s="18">
        <f>tSopa[peso a considerar (g)]*tSopa[kcal
(100g)]/100</f>
        <v>45</v>
      </c>
      <c r="M9" s="18">
        <f>tSopa[peso a considerar (g)]*tSopa[hidrocarbonetos
(100g)]/100</f>
        <v>0</v>
      </c>
      <c r="N9" s="18">
        <f>tSopa[peso a considerar (g)]*tSopa[proteínas
(100g)]/100</f>
        <v>5.0000000000000001E-3</v>
      </c>
      <c r="O9" s="18">
        <f>tSopa[peso a considerar (g)]*tSopa[lípidos
(100g)]/100</f>
        <v>4.9950000000000001</v>
      </c>
      <c r="P9" s="14">
        <v>5.59</v>
      </c>
      <c r="Q9" s="14">
        <f>tSopa[[#This Row],[€/ kg]]*tSopa[[#This Row],[unidade]]*tSopa[[#This Row],[peso unitário (g)]]/1000</f>
        <v>2.7949999999999999E-2</v>
      </c>
    </row>
    <row r="10" spans="2:17" x14ac:dyDescent="0.25">
      <c r="C10" s="9" t="s">
        <v>21</v>
      </c>
      <c r="D10" s="9"/>
      <c r="E10" s="9"/>
      <c r="F10" s="10"/>
      <c r="G10" s="9"/>
      <c r="H10" s="9"/>
      <c r="I10" s="9"/>
      <c r="J10" s="9"/>
      <c r="K10" s="9"/>
      <c r="L10" s="11">
        <f>SUBTOTAL(109,tSopa[kcal])</f>
        <v>533.59999999999991</v>
      </c>
      <c r="M10" s="11">
        <f>SUBTOTAL(109,tSopa[hidrocarbonetos
(g)])</f>
        <v>82.179999999999993</v>
      </c>
      <c r="N10" s="11">
        <f>SUBTOTAL(109,tSopa[proteínas
(g)])</f>
        <v>18.130999999999997</v>
      </c>
      <c r="O10" s="11">
        <f>SUBTOTAL(109,tSopa[lípidos
(g)])</f>
        <v>7.3290000000000006</v>
      </c>
      <c r="P10" s="17"/>
      <c r="Q10" s="15">
        <f>SUBTOTAL(109,tSopa[€])</f>
        <v>1.2375499999999999</v>
      </c>
    </row>
    <row r="11" spans="2:17" x14ac:dyDescent="0.25">
      <c r="C11" s="12" t="s">
        <v>22</v>
      </c>
      <c r="D11" s="13"/>
      <c r="E11" s="13"/>
      <c r="F11" s="13"/>
      <c r="G11" s="13"/>
      <c r="H11" s="13"/>
      <c r="I11" s="13"/>
      <c r="J11" s="13"/>
      <c r="K11" s="13"/>
      <c r="L11" s="11">
        <f>L10/4</f>
        <v>133.39999999999998</v>
      </c>
      <c r="M11" s="11">
        <f t="shared" ref="M11:O11" si="0">M10/4</f>
        <v>20.544999999999998</v>
      </c>
      <c r="N11" s="11">
        <f t="shared" si="0"/>
        <v>4.5327499999999992</v>
      </c>
      <c r="O11" s="11">
        <f t="shared" si="0"/>
        <v>1.8322500000000002</v>
      </c>
      <c r="Q11" s="16">
        <f t="shared" ref="Q11" si="1">Q10/4</f>
        <v>0.30938749999999998</v>
      </c>
    </row>
    <row r="12" spans="2:17" x14ac:dyDescent="0.25">
      <c r="C12" s="8"/>
    </row>
    <row r="13" spans="2:17" x14ac:dyDescent="0.25">
      <c r="B13" s="20"/>
      <c r="C13" s="1" t="s">
        <v>20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6"/>
  <sheetViews>
    <sheetView showGridLines="0" topLeftCell="C1" zoomScale="80" zoomScaleNormal="80" workbookViewId="0">
      <selection activeCell="L13" sqref="L13"/>
    </sheetView>
  </sheetViews>
  <sheetFormatPr defaultRowHeight="15" x14ac:dyDescent="0.25"/>
  <cols>
    <col min="2" max="2" width="2.85546875" customWidth="1"/>
    <col min="3" max="3" width="20.5703125" customWidth="1"/>
    <col min="4" max="5" width="13.42578125" customWidth="1"/>
    <col min="6" max="6" width="16.42578125" customWidth="1"/>
    <col min="7" max="7" width="13.42578125" customWidth="1"/>
    <col min="8" max="11" width="15" customWidth="1"/>
    <col min="12" max="15" width="15.7109375" customWidth="1"/>
  </cols>
  <sheetData>
    <row r="2" spans="2:17" x14ac:dyDescent="0.25">
      <c r="C2" s="7" t="s">
        <v>28</v>
      </c>
    </row>
    <row r="4" spans="2:17" ht="30" customHeight="1" x14ac:dyDescent="0.25">
      <c r="C4" s="3" t="s">
        <v>0</v>
      </c>
      <c r="D4" s="3" t="s">
        <v>1</v>
      </c>
      <c r="E4" s="3" t="s">
        <v>4</v>
      </c>
      <c r="F4" s="3" t="s">
        <v>5</v>
      </c>
      <c r="G4" s="6" t="s">
        <v>7</v>
      </c>
      <c r="H4" s="3" t="s">
        <v>8</v>
      </c>
      <c r="I4" s="3" t="s">
        <v>11</v>
      </c>
      <c r="J4" s="3" t="s">
        <v>9</v>
      </c>
      <c r="K4" s="3" t="s">
        <v>10</v>
      </c>
      <c r="L4" s="6" t="s">
        <v>2</v>
      </c>
      <c r="M4" s="6" t="s">
        <v>12</v>
      </c>
      <c r="N4" s="6" t="s">
        <v>13</v>
      </c>
      <c r="O4" s="6" t="s">
        <v>14</v>
      </c>
      <c r="P4" s="3" t="s">
        <v>15</v>
      </c>
      <c r="Q4" s="6" t="s">
        <v>16</v>
      </c>
    </row>
    <row r="5" spans="2:17" x14ac:dyDescent="0.25">
      <c r="C5" s="2" t="s">
        <v>18</v>
      </c>
      <c r="D5" s="2">
        <v>4</v>
      </c>
      <c r="E5" s="2">
        <v>150</v>
      </c>
      <c r="F5" s="5">
        <v>0.8</v>
      </c>
      <c r="G5" s="18">
        <f>tPrato[[#This Row],[unidade]]*tPrato[[#This Row],[peso unitário (g)]]*tPrato[[#This Row],[alimento a ser comido]]</f>
        <v>480</v>
      </c>
      <c r="H5" s="4">
        <v>22</v>
      </c>
      <c r="I5" s="4">
        <v>3.5</v>
      </c>
      <c r="J5" s="4">
        <v>0.8</v>
      </c>
      <c r="K5" s="4">
        <v>0.3</v>
      </c>
      <c r="L5" s="18">
        <f>tPrato[peso a considerar (g)]*tPrato[kcal
(100g)]/100</f>
        <v>105.6</v>
      </c>
      <c r="M5" s="18">
        <f>tPrato[peso a considerar (g)]*tPrato[hidrocarbonetos
(100g)]/100</f>
        <v>16.8</v>
      </c>
      <c r="N5" s="18">
        <f>tPrato[peso a considerar (g)]*tPrato[proteínas
(100g)]/100</f>
        <v>3.84</v>
      </c>
      <c r="O5" s="18">
        <f>tPrato[peso a considerar (g)]*tPrato[lípidos
(100g)]/100</f>
        <v>1.44</v>
      </c>
      <c r="P5" s="14">
        <v>1.79</v>
      </c>
      <c r="Q5" s="19">
        <f>tPrato[[#This Row],[€/ kg]]*tPrato[[#This Row],[unidade]]*tPrato[[#This Row],[peso unitário (g)]]/1000</f>
        <v>1.0740000000000001</v>
      </c>
    </row>
    <row r="6" spans="2:17" x14ac:dyDescent="0.25">
      <c r="C6" s="2" t="s">
        <v>39</v>
      </c>
      <c r="D6" s="2">
        <v>2</v>
      </c>
      <c r="E6" s="2">
        <v>270</v>
      </c>
      <c r="F6" s="5">
        <v>0.85</v>
      </c>
      <c r="G6" s="18">
        <f>tPrato[[#This Row],[unidade]]*tPrato[[#This Row],[peso unitário (g)]]*tPrato[[#This Row],[alimento a ser comido]]</f>
        <v>459</v>
      </c>
      <c r="H6" s="4">
        <v>21</v>
      </c>
      <c r="I6" s="4">
        <v>4.3</v>
      </c>
      <c r="J6" s="4">
        <v>2</v>
      </c>
      <c r="K6" s="4">
        <v>7.1</v>
      </c>
      <c r="L6" s="18">
        <f>tPrato[peso a considerar (g)]*tPrato[kcal
(100g)]/100</f>
        <v>96.39</v>
      </c>
      <c r="M6" s="18">
        <f>tPrato[peso a considerar (g)]*tPrato[hidrocarbonetos
(100g)]/100</f>
        <v>19.736999999999998</v>
      </c>
      <c r="N6" s="18">
        <f>tPrato[peso a considerar (g)]*tPrato[proteínas
(100g)]/100</f>
        <v>9.18</v>
      </c>
      <c r="O6" s="18">
        <f>tPrato[peso a considerar (g)]*tPrato[lípidos
(100g)]/100</f>
        <v>32.588999999999999</v>
      </c>
      <c r="P6" s="14">
        <v>1.59</v>
      </c>
      <c r="Q6" s="19">
        <f>tPrato[[#This Row],[€/ kg]]*tPrato[[#This Row],[unidade]]*tPrato[[#This Row],[peso unitário (g)]]/1000</f>
        <v>0.85860000000000003</v>
      </c>
    </row>
    <row r="7" spans="2:17" x14ac:dyDescent="0.25">
      <c r="C7" s="2" t="s">
        <v>3</v>
      </c>
      <c r="D7" s="2">
        <v>2</v>
      </c>
      <c r="E7" s="2">
        <v>150</v>
      </c>
      <c r="F7" s="5">
        <v>0.89</v>
      </c>
      <c r="G7" s="18">
        <f>tPrato[[#This Row],[unidade]]*tPrato[[#This Row],[peso unitário (g)]]*tPrato[[#This Row],[alimento a ser comido]]</f>
        <v>267</v>
      </c>
      <c r="H7" s="4">
        <v>20</v>
      </c>
      <c r="I7" s="4">
        <v>2.4</v>
      </c>
      <c r="J7" s="4">
        <v>1</v>
      </c>
      <c r="K7" s="4">
        <v>0.2</v>
      </c>
      <c r="L7" s="18">
        <f>tPrato[peso a considerar (g)]*tPrato[kcal
(100g)]/100</f>
        <v>53.4</v>
      </c>
      <c r="M7" s="18">
        <f>tPrato[peso a considerar (g)]*tPrato[hidrocarbonetos
(100g)]/100</f>
        <v>6.4079999999999995</v>
      </c>
      <c r="N7" s="18">
        <f>tPrato[peso a considerar (g)]*tPrato[proteínas
(100g)]/100</f>
        <v>2.67</v>
      </c>
      <c r="O7" s="18">
        <f>tPrato[peso a considerar (g)]*tPrato[lípidos
(100g)]/100</f>
        <v>0.53400000000000003</v>
      </c>
      <c r="P7" s="14">
        <v>0.86</v>
      </c>
      <c r="Q7" s="19">
        <f>tPrato[[#This Row],[€/ kg]]*tPrato[[#This Row],[unidade]]*tPrato[[#This Row],[peso unitário (g)]]/1000</f>
        <v>0.25800000000000001</v>
      </c>
    </row>
    <row r="8" spans="2:17" x14ac:dyDescent="0.25">
      <c r="C8" s="2" t="s">
        <v>40</v>
      </c>
      <c r="D8" s="2">
        <v>2</v>
      </c>
      <c r="E8" s="2">
        <v>180</v>
      </c>
      <c r="F8" s="5">
        <v>0.8</v>
      </c>
      <c r="G8" s="18">
        <f>tPrato[[#This Row],[unidade]]*tPrato[[#This Row],[peso unitário (g)]]*tPrato[[#This Row],[alimento a ser comido]]</f>
        <v>288</v>
      </c>
      <c r="H8" s="4">
        <v>27</v>
      </c>
      <c r="I8" s="4">
        <v>2.7</v>
      </c>
      <c r="J8" s="4">
        <v>1.6</v>
      </c>
      <c r="K8" s="4">
        <v>0.6</v>
      </c>
      <c r="L8" s="18">
        <f>tPrato[peso a considerar (g)]*tPrato[kcal
(100g)]/100</f>
        <v>77.760000000000005</v>
      </c>
      <c r="M8" s="18">
        <f>tPrato[peso a considerar (g)]*tPrato[hidrocarbonetos
(100g)]/100</f>
        <v>7.7759999999999998</v>
      </c>
      <c r="N8" s="18">
        <f>tPrato[peso a considerar (g)]*tPrato[proteínas
(100g)]/100</f>
        <v>4.6080000000000005</v>
      </c>
      <c r="O8" s="18">
        <f>tPrato[peso a considerar (g)]*tPrato[lípidos
(100g)]/100</f>
        <v>1.7279999999999998</v>
      </c>
      <c r="P8" s="14">
        <v>2.99</v>
      </c>
      <c r="Q8" s="19">
        <f>tPrato[[#This Row],[€/ kg]]*tPrato[[#This Row],[unidade]]*tPrato[[#This Row],[peso unitário (g)]]/1000</f>
        <v>1.0764</v>
      </c>
    </row>
    <row r="9" spans="2:17" x14ac:dyDescent="0.25">
      <c r="C9" s="2" t="s">
        <v>41</v>
      </c>
      <c r="D9" s="2">
        <v>2</v>
      </c>
      <c r="E9" s="2">
        <v>5</v>
      </c>
      <c r="F9" s="5">
        <v>1</v>
      </c>
      <c r="G9" s="18">
        <f>tPrato[[#This Row],[unidade]]*tPrato[[#This Row],[peso unitário (g)]]*tPrato[[#This Row],[alimento a ser comido]]</f>
        <v>10</v>
      </c>
      <c r="H9" s="4">
        <v>72</v>
      </c>
      <c r="I9" s="4">
        <v>11.3</v>
      </c>
      <c r="J9" s="4">
        <v>3.8</v>
      </c>
      <c r="K9" s="4">
        <v>0.6</v>
      </c>
      <c r="L9" s="18">
        <f>tPrato[peso a considerar (g)]*tPrato[kcal
(100g)]/100</f>
        <v>7.2</v>
      </c>
      <c r="M9" s="18">
        <f>tPrato[peso a considerar (g)]*tPrato[hidrocarbonetos
(100g)]/100</f>
        <v>1.1299999999999999</v>
      </c>
      <c r="N9" s="18">
        <f>tPrato[peso a considerar (g)]*tPrato[proteínas
(100g)]/100</f>
        <v>0.38</v>
      </c>
      <c r="O9" s="18">
        <f>tPrato[peso a considerar (g)]*tPrato[lípidos
(100g)]/100</f>
        <v>0.06</v>
      </c>
      <c r="P9" s="14">
        <v>4.3899999999999997</v>
      </c>
      <c r="Q9" s="19">
        <f>tPrato[[#This Row],[€/ kg]]*tPrato[[#This Row],[unidade]]*tPrato[[#This Row],[peso unitário (g)]]/1000</f>
        <v>4.3900000000000002E-2</v>
      </c>
    </row>
    <row r="10" spans="2:17" x14ac:dyDescent="0.25">
      <c r="C10" s="2" t="s">
        <v>19</v>
      </c>
      <c r="D10" s="2">
        <v>1</v>
      </c>
      <c r="E10" s="2">
        <v>5</v>
      </c>
      <c r="F10" s="5">
        <v>1</v>
      </c>
      <c r="G10" s="18">
        <f>tPrato[[#This Row],[unidade]]*tPrato[[#This Row],[peso unitário (g)]]*tPrato[[#This Row],[alimento a ser comido]]</f>
        <v>5</v>
      </c>
      <c r="H10" s="4">
        <v>900</v>
      </c>
      <c r="I10" s="4">
        <v>0</v>
      </c>
      <c r="J10" s="4">
        <v>0.1</v>
      </c>
      <c r="K10" s="4">
        <v>99.9</v>
      </c>
      <c r="L10" s="18">
        <f>tPrato[peso a considerar (g)]*tPrato[kcal
(100g)]/100</f>
        <v>45</v>
      </c>
      <c r="M10" s="18">
        <f>tPrato[peso a considerar (g)]*tPrato[hidrocarbonetos
(100g)]/100</f>
        <v>0</v>
      </c>
      <c r="N10" s="18">
        <f>tPrato[peso a considerar (g)]*tPrato[proteínas
(100g)]/100</f>
        <v>5.0000000000000001E-3</v>
      </c>
      <c r="O10" s="18">
        <f>tPrato[peso a considerar (g)]*tPrato[lípidos
(100g)]/100</f>
        <v>4.9950000000000001</v>
      </c>
      <c r="P10" s="14">
        <v>5.59</v>
      </c>
      <c r="Q10" s="19">
        <f>tPrato[[#This Row],[€/ kg]]*tPrato[[#This Row],[unidade]]*tPrato[[#This Row],[peso unitário (g)]]/1000</f>
        <v>2.7949999999999999E-2</v>
      </c>
    </row>
    <row r="11" spans="2:17" x14ac:dyDescent="0.25">
      <c r="C11" s="2" t="s">
        <v>43</v>
      </c>
      <c r="D11" s="2">
        <v>1</v>
      </c>
      <c r="E11" s="2">
        <v>320</v>
      </c>
      <c r="F11" s="5">
        <v>1</v>
      </c>
      <c r="G11" s="18">
        <f>tPrato[[#This Row],[unidade]]*tPrato[[#This Row],[peso unitário (g)]]*tPrato[[#This Row],[alimento a ser comido]]</f>
        <v>320</v>
      </c>
      <c r="H11" s="4">
        <v>125</v>
      </c>
      <c r="I11" s="4">
        <v>28</v>
      </c>
      <c r="J11" s="4">
        <v>2.5</v>
      </c>
      <c r="K11" s="4">
        <v>0.2</v>
      </c>
      <c r="L11" s="18">
        <f>tPrato[peso a considerar (g)]*tPrato[kcal
(100g)]/100</f>
        <v>400</v>
      </c>
      <c r="M11" s="18">
        <f>tPrato[peso a considerar (g)]*tPrato[hidrocarbonetos
(100g)]/100</f>
        <v>89.6</v>
      </c>
      <c r="N11" s="18">
        <f>tPrato[peso a considerar (g)]*tPrato[proteínas
(100g)]/100</f>
        <v>8</v>
      </c>
      <c r="O11" s="18">
        <f>tPrato[peso a considerar (g)]*tPrato[lípidos
(100g)]/100</f>
        <v>0.64</v>
      </c>
      <c r="P11" s="14">
        <v>0.75</v>
      </c>
      <c r="Q11" s="19">
        <f>tPrato[[#This Row],[€/ kg]]*tPrato[[#This Row],[unidade]]*tPrato[[#This Row],[peso unitário (g)]]/1000</f>
        <v>0.24</v>
      </c>
    </row>
    <row r="12" spans="2:17" x14ac:dyDescent="0.25">
      <c r="C12" s="2" t="s">
        <v>42</v>
      </c>
      <c r="D12" s="2">
        <v>2</v>
      </c>
      <c r="E12" s="2">
        <v>100</v>
      </c>
      <c r="F12" s="5">
        <v>0.85</v>
      </c>
      <c r="G12" s="18">
        <f>tPrato[[#This Row],[unidade]]*tPrato[[#This Row],[peso unitário (g)]]*tPrato[[#This Row],[alimento a ser comido]]</f>
        <v>170</v>
      </c>
      <c r="H12" s="4">
        <v>19</v>
      </c>
      <c r="I12" s="4">
        <v>2</v>
      </c>
      <c r="J12" s="4">
        <v>1.6</v>
      </c>
      <c r="K12" s="4">
        <v>0.3</v>
      </c>
      <c r="L12" s="18">
        <f>tPrato[peso a considerar (g)]*tPrato[kcal
(100g)]/100</f>
        <v>32.299999999999997</v>
      </c>
      <c r="M12" s="18">
        <f>tPrato[peso a considerar (g)]*tPrato[hidrocarbonetos
(100g)]/100</f>
        <v>3.4</v>
      </c>
      <c r="N12" s="18">
        <f>tPrato[peso a considerar (g)]*tPrato[proteínas
(100g)]/100</f>
        <v>2.72</v>
      </c>
      <c r="O12" s="18">
        <f>tPrato[peso a considerar (g)]*tPrato[lípidos
(100g)]/100</f>
        <v>0.51</v>
      </c>
      <c r="P12" s="14">
        <v>1.19</v>
      </c>
      <c r="Q12" s="19">
        <f>tPrato[[#This Row],[€/ kg]]*tPrato[[#This Row],[unidade]]*tPrato[[#This Row],[peso unitário (g)]]/1000</f>
        <v>0.23799999999999999</v>
      </c>
    </row>
    <row r="13" spans="2:17" x14ac:dyDescent="0.25">
      <c r="C13" s="9" t="s">
        <v>21</v>
      </c>
      <c r="D13" s="9"/>
      <c r="E13" s="9"/>
      <c r="F13" s="10"/>
      <c r="G13" s="9"/>
      <c r="H13" s="9"/>
      <c r="I13" s="9"/>
      <c r="J13" s="9"/>
      <c r="K13" s="9"/>
      <c r="L13" s="11">
        <f>SUBTOTAL(109,tPrato[kcal])</f>
        <v>817.65</v>
      </c>
      <c r="M13" s="11">
        <f>SUBTOTAL(109,tPrato[hidrocarbonetos
(g)])</f>
        <v>144.851</v>
      </c>
      <c r="N13" s="11">
        <f>SUBTOTAL(109,tPrato[proteínas
(g)])</f>
        <v>31.402999999999999</v>
      </c>
      <c r="O13" s="11">
        <f>SUBTOTAL(109,tPrato[lípidos
(g)])</f>
        <v>42.495999999999995</v>
      </c>
      <c r="P13" s="17"/>
      <c r="Q13" s="15">
        <f>SUBTOTAL(109,tPrato[€])</f>
        <v>3.8168500000000001</v>
      </c>
    </row>
    <row r="14" spans="2:17" x14ac:dyDescent="0.25">
      <c r="C14" s="12" t="s">
        <v>22</v>
      </c>
      <c r="D14" s="13"/>
      <c r="E14" s="13"/>
      <c r="F14" s="13"/>
      <c r="G14" s="13"/>
      <c r="H14" s="13"/>
      <c r="I14" s="13"/>
      <c r="J14" s="13"/>
      <c r="K14" s="13"/>
      <c r="L14" s="11">
        <f>L13/4</f>
        <v>204.41249999999999</v>
      </c>
      <c r="M14" s="11">
        <f t="shared" ref="M14:O14" si="0">M13/4</f>
        <v>36.21275</v>
      </c>
      <c r="N14" s="11">
        <f t="shared" si="0"/>
        <v>7.8507499999999997</v>
      </c>
      <c r="O14" s="11">
        <f t="shared" si="0"/>
        <v>10.623999999999999</v>
      </c>
      <c r="Q14" s="16">
        <f t="shared" ref="Q14" si="1">Q13/4</f>
        <v>0.95421250000000002</v>
      </c>
    </row>
    <row r="15" spans="2:17" x14ac:dyDescent="0.25">
      <c r="C15" s="8"/>
    </row>
    <row r="16" spans="2:17" x14ac:dyDescent="0.25">
      <c r="B16" s="20"/>
      <c r="C16" s="1" t="s">
        <v>20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"/>
  <sheetViews>
    <sheetView showGridLines="0" zoomScale="80" zoomScaleNormal="80" workbookViewId="0">
      <selection activeCell="J8" sqref="J8"/>
    </sheetView>
  </sheetViews>
  <sheetFormatPr defaultRowHeight="15" x14ac:dyDescent="0.25"/>
  <cols>
    <col min="2" max="2" width="3" customWidth="1"/>
    <col min="3" max="3" width="25.28515625" customWidth="1"/>
    <col min="4" max="5" width="13.42578125" customWidth="1"/>
    <col min="6" max="6" width="16.42578125" customWidth="1"/>
    <col min="7" max="7" width="13.42578125" customWidth="1"/>
    <col min="8" max="11" width="15" customWidth="1"/>
    <col min="12" max="15" width="15.7109375" customWidth="1"/>
  </cols>
  <sheetData>
    <row r="2" spans="2:17" x14ac:dyDescent="0.25">
      <c r="C2" s="7" t="s">
        <v>26</v>
      </c>
    </row>
    <row r="4" spans="2:17" ht="30" customHeight="1" x14ac:dyDescent="0.25">
      <c r="C4" s="3" t="s">
        <v>0</v>
      </c>
      <c r="D4" s="3" t="s">
        <v>1</v>
      </c>
      <c r="E4" s="3" t="s">
        <v>4</v>
      </c>
      <c r="F4" s="3" t="s">
        <v>5</v>
      </c>
      <c r="G4" s="6" t="s">
        <v>7</v>
      </c>
      <c r="H4" s="3" t="s">
        <v>8</v>
      </c>
      <c r="I4" s="3" t="s">
        <v>11</v>
      </c>
      <c r="J4" s="3" t="s">
        <v>9</v>
      </c>
      <c r="K4" s="3" t="s">
        <v>10</v>
      </c>
      <c r="L4" s="6" t="s">
        <v>2</v>
      </c>
      <c r="M4" s="6" t="s">
        <v>12</v>
      </c>
      <c r="N4" s="6" t="s">
        <v>13</v>
      </c>
      <c r="O4" s="6" t="s">
        <v>14</v>
      </c>
      <c r="P4" s="3" t="s">
        <v>15</v>
      </c>
      <c r="Q4" s="6" t="s">
        <v>16</v>
      </c>
    </row>
    <row r="5" spans="2:17" x14ac:dyDescent="0.25">
      <c r="C5" s="2" t="s">
        <v>44</v>
      </c>
      <c r="D5" s="2">
        <v>8</v>
      </c>
      <c r="E5" s="2">
        <v>17</v>
      </c>
      <c r="F5" s="5">
        <v>0.9</v>
      </c>
      <c r="G5" s="18">
        <f>tSobremesa[[#This Row],[unidade]]*tSobremesa[[#This Row],[peso unitário (g)]]*tSobremesa[[#This Row],[alimento a ser comido]]</f>
        <v>122.4</v>
      </c>
      <c r="H5" s="4">
        <v>34</v>
      </c>
      <c r="I5" s="4">
        <v>10.9</v>
      </c>
      <c r="J5" s="4">
        <v>0.8</v>
      </c>
      <c r="K5" s="4">
        <v>0.5</v>
      </c>
      <c r="L5" s="18">
        <f>tSobremesa[peso a considerar (g)]*tSobremesa[kcal
(100g)]/100</f>
        <v>41.616000000000007</v>
      </c>
      <c r="M5" s="18">
        <f>tSobremesa[peso a considerar (g)]*tSobremesa[hidrocarbonetos
(100g)]/100</f>
        <v>13.341600000000001</v>
      </c>
      <c r="N5" s="18">
        <f>tSobremesa[peso a considerar (g)]*tSobremesa[proteínas
(100g)]/100</f>
        <v>0.97920000000000018</v>
      </c>
      <c r="O5" s="18">
        <f>tSobremesa[peso a considerar (g)]*tSobremesa[lípidos
(100g)]/100</f>
        <v>0.61199999999999999</v>
      </c>
      <c r="P5" s="14">
        <v>2.99</v>
      </c>
      <c r="Q5" s="19">
        <f>tSobremesa[[#This Row],[€/ kg]]*tSobremesa[[#This Row],[unidade]]*tSobremesa[[#This Row],[peso unitário (g)]]/1000</f>
        <v>0.40664000000000006</v>
      </c>
    </row>
    <row r="6" spans="2:17" x14ac:dyDescent="0.25">
      <c r="C6" s="2"/>
      <c r="D6" s="2"/>
      <c r="E6" s="2"/>
      <c r="F6" s="5"/>
      <c r="G6" s="18"/>
      <c r="H6" s="4"/>
      <c r="I6" s="4"/>
      <c r="J6" s="4"/>
      <c r="K6" s="4"/>
      <c r="L6" s="18">
        <f>tSobremesa[peso a considerar (g)]*tSobremesa[kcal
(100g)]/100</f>
        <v>0</v>
      </c>
      <c r="M6" s="18">
        <f>tSobremesa[peso a considerar (g)]*tSobremesa[hidrocarbonetos
(100g)]/100</f>
        <v>0</v>
      </c>
      <c r="N6" s="18">
        <f>tSobremesa[peso a considerar (g)]*tSobremesa[proteínas
(100g)]/100</f>
        <v>0</v>
      </c>
      <c r="O6" s="18">
        <f>tSobremesa[peso a considerar (g)]*tSobremesa[lípidos
(100g)]/100</f>
        <v>0</v>
      </c>
      <c r="P6" s="14">
        <v>0.75</v>
      </c>
      <c r="Q6" s="19">
        <f>tSobremesa[[#This Row],[€/ kg]]*tSobremesa[[#This Row],[unidade]]*tSobremesa[[#This Row],[peso unitário (g)]]/1000</f>
        <v>0</v>
      </c>
    </row>
    <row r="7" spans="2:17" x14ac:dyDescent="0.25">
      <c r="C7" s="9" t="s">
        <v>24</v>
      </c>
      <c r="D7" s="9"/>
      <c r="E7" s="9"/>
      <c r="F7" s="10"/>
      <c r="G7" s="9"/>
      <c r="H7" s="9"/>
      <c r="I7" s="9"/>
      <c r="J7" s="9"/>
      <c r="K7" s="9"/>
      <c r="L7" s="11">
        <f>SUBTOTAL(109,tSobremesa[kcal])</f>
        <v>41.616000000000007</v>
      </c>
      <c r="M7" s="11">
        <f>SUBTOTAL(109,tSobremesa[hidrocarbonetos
(g)])</f>
        <v>13.341600000000001</v>
      </c>
      <c r="N7" s="11">
        <f>SUBTOTAL(109,tSobremesa[proteínas
(g)])</f>
        <v>0.97920000000000018</v>
      </c>
      <c r="O7" s="11">
        <f>SUBTOTAL(109,tSobremesa[lípidos
(g)])</f>
        <v>0.61199999999999999</v>
      </c>
      <c r="P7" s="17"/>
      <c r="Q7" s="15">
        <f>SUBTOTAL(109,tSobremesa[€])</f>
        <v>0.40664000000000006</v>
      </c>
    </row>
    <row r="8" spans="2:17" x14ac:dyDescent="0.25">
      <c r="C8" s="12" t="s">
        <v>25</v>
      </c>
      <c r="D8" s="13"/>
      <c r="E8" s="13"/>
      <c r="F8" s="13"/>
      <c r="G8" s="13"/>
      <c r="H8" s="13"/>
      <c r="I8" s="13"/>
      <c r="J8" s="13"/>
      <c r="K8" s="13"/>
      <c r="L8" s="11">
        <f>L7/4</f>
        <v>10.404000000000002</v>
      </c>
      <c r="M8" s="11">
        <f t="shared" ref="M8:O8" si="0">M7/4</f>
        <v>3.3354000000000004</v>
      </c>
      <c r="N8" s="11">
        <f t="shared" si="0"/>
        <v>0.24480000000000005</v>
      </c>
      <c r="O8" s="11">
        <f t="shared" si="0"/>
        <v>0.153</v>
      </c>
      <c r="Q8" s="16">
        <f t="shared" ref="Q8" si="1">Q7/4</f>
        <v>0.10166000000000001</v>
      </c>
    </row>
    <row r="9" spans="2:17" x14ac:dyDescent="0.25">
      <c r="C9" s="8"/>
    </row>
    <row r="10" spans="2:17" x14ac:dyDescent="0.25">
      <c r="B10" s="20"/>
      <c r="C10" s="1" t="s">
        <v>20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"/>
  <sheetViews>
    <sheetView showGridLines="0" zoomScale="80" zoomScaleNormal="80" workbookViewId="0">
      <selection activeCell="H21" sqref="H21"/>
    </sheetView>
  </sheetViews>
  <sheetFormatPr defaultRowHeight="15" x14ac:dyDescent="0.25"/>
  <cols>
    <col min="2" max="2" width="2.85546875" customWidth="1"/>
    <col min="3" max="3" width="19.42578125" customWidth="1"/>
    <col min="4" max="5" width="13.42578125" customWidth="1"/>
    <col min="6" max="6" width="16.42578125" customWidth="1"/>
    <col min="7" max="7" width="13.42578125" customWidth="1"/>
    <col min="8" max="11" width="15" customWidth="1"/>
    <col min="12" max="15" width="15.7109375" customWidth="1"/>
  </cols>
  <sheetData>
    <row r="2" spans="2:17" x14ac:dyDescent="0.25">
      <c r="C2" s="7" t="s">
        <v>27</v>
      </c>
    </row>
    <row r="4" spans="2:17" ht="30" customHeight="1" x14ac:dyDescent="0.25">
      <c r="C4" s="3" t="s">
        <v>0</v>
      </c>
      <c r="D4" s="3" t="s">
        <v>1</v>
      </c>
      <c r="E4" s="3" t="s">
        <v>4</v>
      </c>
      <c r="F4" s="3" t="s">
        <v>5</v>
      </c>
      <c r="G4" s="6" t="s">
        <v>7</v>
      </c>
      <c r="H4" s="3" t="s">
        <v>8</v>
      </c>
      <c r="I4" s="3" t="s">
        <v>11</v>
      </c>
      <c r="J4" s="3" t="s">
        <v>9</v>
      </c>
      <c r="K4" s="3" t="s">
        <v>10</v>
      </c>
      <c r="L4" s="6" t="s">
        <v>2</v>
      </c>
      <c r="M4" s="6" t="s">
        <v>12</v>
      </c>
      <c r="N4" s="6" t="s">
        <v>13</v>
      </c>
      <c r="O4" s="6" t="s">
        <v>14</v>
      </c>
      <c r="P4" s="3" t="s">
        <v>15</v>
      </c>
      <c r="Q4" s="6" t="s">
        <v>16</v>
      </c>
    </row>
    <row r="5" spans="2:17" x14ac:dyDescent="0.25">
      <c r="C5" s="2"/>
      <c r="D5" s="2"/>
      <c r="E5" s="2"/>
      <c r="F5" s="5"/>
      <c r="G5" s="18">
        <f>tSalada[[#This Row],[unidade]]*tSalada[[#This Row],[peso unitário (g)]]*tSalada[[#This Row],[alimento a ser comido]]</f>
        <v>0</v>
      </c>
      <c r="H5" s="4">
        <v>900</v>
      </c>
      <c r="I5" s="4">
        <v>0</v>
      </c>
      <c r="J5" s="4">
        <v>0</v>
      </c>
      <c r="K5" s="4">
        <v>100</v>
      </c>
      <c r="L5" s="18">
        <f>tSalada[peso a considerar (g)]*tSalada[kcal
(100g)]/100</f>
        <v>0</v>
      </c>
      <c r="M5" s="18">
        <f>tSalada[peso a considerar (g)]*tSalada[hidrocarbonetos
(100g)]/100</f>
        <v>0</v>
      </c>
      <c r="N5" s="18">
        <f>tSalada[peso a considerar (g)]*tSalada[proteínas
(100g)]/100</f>
        <v>0</v>
      </c>
      <c r="O5" s="18">
        <f>tSalada[peso a considerar (g)]*tSalada[lípidos
(100g)]/100</f>
        <v>0</v>
      </c>
      <c r="P5" s="14">
        <v>0.6</v>
      </c>
      <c r="Q5" s="19">
        <f>tSalada[[#This Row],[€/ kg]]*tSalada[[#This Row],[unidade]]*tSalada[[#This Row],[peso unitário (g)]]/1000</f>
        <v>0</v>
      </c>
    </row>
    <row r="6" spans="2:17" x14ac:dyDescent="0.25">
      <c r="C6" s="2"/>
      <c r="D6" s="2"/>
      <c r="E6" s="2"/>
      <c r="F6" s="5"/>
      <c r="G6" s="18">
        <f>tSalada[[#This Row],[unidade]]*tSalada[[#This Row],[peso unitário (g)]]*tSalada[[#This Row],[alimento a ser comido]]</f>
        <v>0</v>
      </c>
      <c r="H6" s="4">
        <v>900</v>
      </c>
      <c r="I6" s="4">
        <v>0</v>
      </c>
      <c r="J6" s="4">
        <v>0</v>
      </c>
      <c r="K6" s="4">
        <v>100</v>
      </c>
      <c r="L6" s="18">
        <f>tSalada[peso a considerar (g)]*tSalada[kcal
(100g)]/100</f>
        <v>0</v>
      </c>
      <c r="M6" s="18">
        <f>tSalada[peso a considerar (g)]*tSalada[hidrocarbonetos
(100g)]/100</f>
        <v>0</v>
      </c>
      <c r="N6" s="18">
        <f>tSalada[peso a considerar (g)]*tSalada[proteínas
(100g)]/100</f>
        <v>0</v>
      </c>
      <c r="O6" s="18">
        <f>tSalada[peso a considerar (g)]*tSalada[lípidos
(100g)]/100</f>
        <v>0</v>
      </c>
      <c r="P6" s="14">
        <v>0.75</v>
      </c>
      <c r="Q6" s="19">
        <f>tSalada[[#This Row],[€/ kg]]*tSalada[[#This Row],[unidade]]*tSalada[[#This Row],[peso unitário (g)]]/1000</f>
        <v>0</v>
      </c>
    </row>
    <row r="7" spans="2:17" x14ac:dyDescent="0.25">
      <c r="C7" s="2"/>
      <c r="D7" s="2"/>
      <c r="E7" s="2"/>
      <c r="F7" s="5"/>
      <c r="G7" s="18">
        <f>tSalada[[#This Row],[unidade]]*tSalada[[#This Row],[peso unitário (g)]]*tSalada[[#This Row],[alimento a ser comido]]</f>
        <v>0</v>
      </c>
      <c r="H7" s="4"/>
      <c r="I7" s="4"/>
      <c r="J7" s="4"/>
      <c r="K7" s="4"/>
      <c r="L7" s="18">
        <f>tSalada[peso a considerar (g)]*tSalada[kcal
(100g)]/100</f>
        <v>0</v>
      </c>
      <c r="M7" s="18">
        <f>tSalada[peso a considerar (g)]*tSalada[hidrocarbonetos
(100g)]/100</f>
        <v>0</v>
      </c>
      <c r="N7" s="18">
        <f>tSalada[peso a considerar (g)]*tSalada[proteínas
(100g)]/100</f>
        <v>0</v>
      </c>
      <c r="O7" s="18">
        <f>tSalada[peso a considerar (g)]*tSalada[lípidos
(100g)]/100</f>
        <v>0</v>
      </c>
      <c r="P7" s="14"/>
      <c r="Q7" s="19">
        <f>tSalada[[#This Row],[€/ kg]]*tSalada[[#This Row],[unidade]]*tSalada[[#This Row],[peso unitário (g)]]/1000</f>
        <v>0</v>
      </c>
    </row>
    <row r="8" spans="2:17" x14ac:dyDescent="0.25">
      <c r="C8" s="2"/>
      <c r="D8" s="2"/>
      <c r="E8" s="2"/>
      <c r="F8" s="5"/>
      <c r="G8" s="18">
        <f>tSalada[[#This Row],[unidade]]*tSalada[[#This Row],[peso unitário (g)]]*tSalada[[#This Row],[alimento a ser comido]]</f>
        <v>0</v>
      </c>
      <c r="H8" s="4"/>
      <c r="I8" s="4"/>
      <c r="J8" s="4"/>
      <c r="K8" s="4"/>
      <c r="L8" s="18">
        <f>tSalada[peso a considerar (g)]*tSalada[kcal
(100g)]/100</f>
        <v>0</v>
      </c>
      <c r="M8" s="18">
        <f>tSalada[peso a considerar (g)]*tSalada[hidrocarbonetos
(100g)]/100</f>
        <v>0</v>
      </c>
      <c r="N8" s="18">
        <f>tSalada[peso a considerar (g)]*tSalada[proteínas
(100g)]/100</f>
        <v>0</v>
      </c>
      <c r="O8" s="18">
        <f>tSalada[peso a considerar (g)]*tSalada[lípidos
(100g)]/100</f>
        <v>0</v>
      </c>
      <c r="P8" s="14"/>
      <c r="Q8" s="19">
        <f>tSalada[[#This Row],[€/ kg]]*tSalada[[#This Row],[unidade]]*tSalada[[#This Row],[peso unitário (g)]]/1000</f>
        <v>0</v>
      </c>
    </row>
    <row r="9" spans="2:17" x14ac:dyDescent="0.25">
      <c r="C9" s="2"/>
      <c r="D9" s="2"/>
      <c r="E9" s="2"/>
      <c r="F9" s="5"/>
      <c r="G9" s="18">
        <f>tSalada[[#This Row],[unidade]]*tSalada[[#This Row],[peso unitário (g)]]*tSalada[[#This Row],[alimento a ser comido]]</f>
        <v>0</v>
      </c>
      <c r="H9" s="4"/>
      <c r="I9" s="4"/>
      <c r="J9" s="4"/>
      <c r="K9" s="4"/>
      <c r="L9" s="18">
        <f>tSalada[peso a considerar (g)]*tSalada[kcal
(100g)]/100</f>
        <v>0</v>
      </c>
      <c r="M9" s="18">
        <f>tSalada[peso a considerar (g)]*tSalada[hidrocarbonetos
(100g)]/100</f>
        <v>0</v>
      </c>
      <c r="N9" s="18">
        <f>tSalada[peso a considerar (g)]*tSalada[proteínas
(100g)]/100</f>
        <v>0</v>
      </c>
      <c r="O9" s="18">
        <f>tSalada[peso a considerar (g)]*tSalada[lípidos
(100g)]/100</f>
        <v>0</v>
      </c>
      <c r="P9" s="14"/>
      <c r="Q9" s="19">
        <f>tSalada[[#This Row],[€/ kg]]*tSalada[[#This Row],[unidade]]*tSalada[[#This Row],[peso unitário (g)]]/1000</f>
        <v>0</v>
      </c>
    </row>
    <row r="10" spans="2:17" x14ac:dyDescent="0.25">
      <c r="C10" s="2"/>
      <c r="D10" s="2"/>
      <c r="E10" s="2"/>
      <c r="F10" s="5"/>
      <c r="G10" s="18">
        <f>tSalada[[#This Row],[unidade]]*tSalada[[#This Row],[peso unitário (g)]]*tSalada[[#This Row],[alimento a ser comido]]</f>
        <v>0</v>
      </c>
      <c r="H10" s="4"/>
      <c r="I10" s="4"/>
      <c r="J10" s="4"/>
      <c r="K10" s="4"/>
      <c r="L10" s="18">
        <f>tSalada[peso a considerar (g)]*tSalada[kcal
(100g)]/100</f>
        <v>0</v>
      </c>
      <c r="M10" s="18">
        <f>tSalada[peso a considerar (g)]*tSalada[hidrocarbonetos
(100g)]/100</f>
        <v>0</v>
      </c>
      <c r="N10" s="18">
        <f>tSalada[peso a considerar (g)]*tSalada[proteínas
(100g)]/100</f>
        <v>0</v>
      </c>
      <c r="O10" s="18">
        <f>tSalada[peso a considerar (g)]*tSalada[lípidos
(100g)]/100</f>
        <v>0</v>
      </c>
      <c r="P10" s="14"/>
      <c r="Q10" s="19">
        <f>tSalada[[#This Row],[€/ kg]]*tSalada[[#This Row],[unidade]]*tSalada[[#This Row],[peso unitário (g)]]/1000</f>
        <v>0</v>
      </c>
    </row>
    <row r="11" spans="2:17" x14ac:dyDescent="0.25">
      <c r="C11" s="9" t="s">
        <v>21</v>
      </c>
      <c r="D11" s="9"/>
      <c r="E11" s="9"/>
      <c r="F11" s="10"/>
      <c r="G11" s="9"/>
      <c r="H11" s="9"/>
      <c r="I11" s="9"/>
      <c r="J11" s="9"/>
      <c r="K11" s="9"/>
      <c r="L11" s="11">
        <f>SUBTOTAL(109,tSalada[kcal])</f>
        <v>0</v>
      </c>
      <c r="M11" s="11">
        <f>SUBTOTAL(109,tSalada[hidrocarbonetos
(g)])</f>
        <v>0</v>
      </c>
      <c r="N11" s="11">
        <f>SUBTOTAL(109,tSalada[proteínas
(g)])</f>
        <v>0</v>
      </c>
      <c r="O11" s="11">
        <f>SUBTOTAL(109,tSalada[lípidos
(g)])</f>
        <v>0</v>
      </c>
      <c r="P11" s="17"/>
      <c r="Q11" s="15">
        <f>SUBTOTAL(109,tSalada[€])</f>
        <v>0</v>
      </c>
    </row>
    <row r="12" spans="2:17" x14ac:dyDescent="0.25">
      <c r="C12" s="12" t="s">
        <v>23</v>
      </c>
      <c r="D12" s="13"/>
      <c r="E12" s="13"/>
      <c r="F12" s="13"/>
      <c r="G12" s="13"/>
      <c r="H12" s="13"/>
      <c r="I12" s="13"/>
      <c r="J12" s="13"/>
      <c r="K12" s="13"/>
      <c r="L12" s="11">
        <f>L11/4</f>
        <v>0</v>
      </c>
      <c r="M12" s="11">
        <f t="shared" ref="M12:O12" si="0">M11/4</f>
        <v>0</v>
      </c>
      <c r="N12" s="11">
        <f t="shared" si="0"/>
        <v>0</v>
      </c>
      <c r="O12" s="11">
        <f t="shared" si="0"/>
        <v>0</v>
      </c>
      <c r="Q12" s="16">
        <f t="shared" ref="Q12" si="1">Q11/4</f>
        <v>0</v>
      </c>
    </row>
    <row r="13" spans="2:17" x14ac:dyDescent="0.25">
      <c r="C13" s="8"/>
    </row>
    <row r="14" spans="2:17" x14ac:dyDescent="0.25">
      <c r="B14" s="20"/>
      <c r="C14" s="1" t="s">
        <v>20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G12"/>
  <sheetViews>
    <sheetView showGridLines="0" tabSelected="1" zoomScale="110" zoomScaleNormal="110" workbookViewId="0">
      <selection activeCell="C9" sqref="C9"/>
    </sheetView>
  </sheetViews>
  <sheetFormatPr defaultRowHeight="15" x14ac:dyDescent="0.25"/>
  <cols>
    <col min="2" max="2" width="25.28515625" customWidth="1"/>
    <col min="3" max="6" width="15.7109375" customWidth="1"/>
  </cols>
  <sheetData>
    <row r="2" spans="2:7" x14ac:dyDescent="0.25">
      <c r="B2" s="7" t="s">
        <v>34</v>
      </c>
    </row>
    <row r="4" spans="2:7" ht="30" customHeight="1" x14ac:dyDescent="0.25">
      <c r="B4" s="3" t="s">
        <v>0</v>
      </c>
      <c r="C4" s="6" t="s">
        <v>2</v>
      </c>
      <c r="D4" s="6" t="s">
        <v>12</v>
      </c>
      <c r="E4" s="6" t="s">
        <v>13</v>
      </c>
      <c r="F4" s="6" t="s">
        <v>14</v>
      </c>
      <c r="G4" s="6" t="s">
        <v>16</v>
      </c>
    </row>
    <row r="5" spans="2:7" x14ac:dyDescent="0.25">
      <c r="B5" s="2" t="s">
        <v>29</v>
      </c>
      <c r="C5" s="18">
        <f>sopa!L10</f>
        <v>533.59999999999991</v>
      </c>
      <c r="D5" s="18">
        <f>sopa!M10</f>
        <v>82.179999999999993</v>
      </c>
      <c r="E5" s="18">
        <f>sopa!N10</f>
        <v>18.130999999999997</v>
      </c>
      <c r="F5" s="18">
        <f>sopa!O10</f>
        <v>7.3290000000000006</v>
      </c>
      <c r="G5" s="19">
        <f>sopa!Q10</f>
        <v>1.2375499999999999</v>
      </c>
    </row>
    <row r="6" spans="2:7" x14ac:dyDescent="0.25">
      <c r="B6" s="2" t="s">
        <v>30</v>
      </c>
      <c r="C6" s="18">
        <f>salada!L10</f>
        <v>0</v>
      </c>
      <c r="D6" s="18">
        <f>salada!M10</f>
        <v>0</v>
      </c>
      <c r="E6" s="18">
        <f>salada!N10</f>
        <v>0</v>
      </c>
      <c r="F6" s="18">
        <f>salada!O10</f>
        <v>0</v>
      </c>
      <c r="G6" s="19">
        <f>salada!Q10</f>
        <v>0</v>
      </c>
    </row>
    <row r="7" spans="2:7" x14ac:dyDescent="0.25">
      <c r="B7" s="2" t="s">
        <v>35</v>
      </c>
      <c r="C7" s="18">
        <f>'prato principal'!L13</f>
        <v>817.65</v>
      </c>
      <c r="D7" s="18">
        <f>'prato principal'!M13</f>
        <v>144.851</v>
      </c>
      <c r="E7" s="18">
        <f>'prato principal'!N13</f>
        <v>31.402999999999999</v>
      </c>
      <c r="F7" s="18">
        <f>'prato principal'!O13</f>
        <v>42.495999999999995</v>
      </c>
      <c r="G7" s="19">
        <f>'prato principal'!Q13</f>
        <v>3.8168500000000001</v>
      </c>
    </row>
    <row r="8" spans="2:7" x14ac:dyDescent="0.25">
      <c r="B8" s="2" t="s">
        <v>31</v>
      </c>
      <c r="C8" s="18">
        <f>sobremesa!L7</f>
        <v>41.616000000000007</v>
      </c>
      <c r="D8" s="18">
        <f>sobremesa!M7</f>
        <v>13.341600000000001</v>
      </c>
      <c r="E8" s="18">
        <f>sobremesa!N7</f>
        <v>0.97920000000000018</v>
      </c>
      <c r="F8" s="18">
        <f>sobremesa!O7</f>
        <v>0.61199999999999999</v>
      </c>
      <c r="G8" s="19">
        <f>sobremesa!Q7</f>
        <v>0.40664000000000006</v>
      </c>
    </row>
    <row r="9" spans="2:7" x14ac:dyDescent="0.25">
      <c r="B9" s="9" t="s">
        <v>32</v>
      </c>
      <c r="C9" s="11">
        <f>SUBTOTAL(109,tTotal[kcal])</f>
        <v>1392.866</v>
      </c>
      <c r="D9" s="11">
        <f>SUBTOTAL(109,tTotal[hidrocarbonetos
(g)])</f>
        <v>240.37260000000001</v>
      </c>
      <c r="E9" s="11">
        <f>SUBTOTAL(109,tTotal[proteínas
(g)])</f>
        <v>50.513199999999991</v>
      </c>
      <c r="F9" s="11">
        <f>SUBTOTAL(109,tTotal[lípidos
(g)])</f>
        <v>50.436999999999998</v>
      </c>
      <c r="G9" s="15">
        <f>SUBTOTAL(109,tTotal[€])</f>
        <v>5.4610400000000006</v>
      </c>
    </row>
    <row r="10" spans="2:7" x14ac:dyDescent="0.25">
      <c r="B10" s="12" t="s">
        <v>33</v>
      </c>
      <c r="C10" s="11">
        <f>C9/4</f>
        <v>348.2165</v>
      </c>
      <c r="D10" s="11">
        <f t="shared" ref="D10:F10" si="0">D9/4</f>
        <v>60.093150000000001</v>
      </c>
      <c r="E10" s="11">
        <f t="shared" si="0"/>
        <v>12.628299999999998</v>
      </c>
      <c r="F10" s="11">
        <f t="shared" si="0"/>
        <v>12.609249999999999</v>
      </c>
      <c r="G10" s="16">
        <f t="shared" ref="G10" si="1">G9/4</f>
        <v>1.3652600000000001</v>
      </c>
    </row>
    <row r="11" spans="2:7" x14ac:dyDescent="0.25">
      <c r="B11" s="8"/>
    </row>
    <row r="12" spans="2:7" x14ac:dyDescent="0.25">
      <c r="B12" s="1" t="s">
        <v>20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sopa</vt:lpstr>
      <vt:lpstr>prato principal</vt:lpstr>
      <vt:lpstr>sobremesa</vt:lpstr>
      <vt:lpstr>salada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Hespanhol</dc:creator>
  <cp:lastModifiedBy>Pedro</cp:lastModifiedBy>
  <dcterms:created xsi:type="dcterms:W3CDTF">2017-03-12T16:25:28Z</dcterms:created>
  <dcterms:modified xsi:type="dcterms:W3CDTF">2017-03-19T16:41:23Z</dcterms:modified>
</cp:coreProperties>
</file>