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\Desktop\TURISMO DE PORTUGAL\ECO ESCOLAS\Eco ementas\"/>
    </mc:Choice>
  </mc:AlternateContent>
  <xr:revisionPtr revIDLastSave="0" documentId="13_ncr:1_{76BC89B8-4AC5-4F63-B54C-E0CDE5695606}" xr6:coauthVersionLast="47" xr6:coauthVersionMax="47" xr10:uidLastSave="{00000000-0000-0000-0000-000000000000}"/>
  <bookViews>
    <workbookView xWindow="-120" yWindow="-120" windowWidth="19440" windowHeight="11640" activeTab="3" xr2:uid="{F8B768A4-954F-4D41-992D-A5C8E16BC680}"/>
  </bookViews>
  <sheets>
    <sheet name="Creme de Lentilhas" sheetId="1" r:id="rId1"/>
    <sheet name="Cavala" sheetId="9" r:id="rId2"/>
    <sheet name="Broinhas" sheetId="10" r:id="rId3"/>
    <sheet name="Cálculos" sheetId="11" r:id="rId4"/>
  </sheets>
  <definedNames>
    <definedName name="_xlnm._FilterDatabase" localSheetId="2" hidden="1">Broinhas!#REF!</definedName>
    <definedName name="_xlnm._FilterDatabase" localSheetId="1" hidden="1">Cavala!#REF!</definedName>
    <definedName name="_xlnm._FilterDatabase" localSheetId="0" hidden="1">'Creme de Lentilhas'!#REF!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0" l="1"/>
  <c r="B38" i="10"/>
  <c r="B37" i="10"/>
  <c r="G37" i="10" s="1"/>
  <c r="B30" i="10"/>
  <c r="G30" i="10" s="1"/>
  <c r="B29" i="10"/>
  <c r="G32" i="9"/>
  <c r="G38" i="10"/>
  <c r="G36" i="10"/>
  <c r="G35" i="10"/>
  <c r="G34" i="10"/>
  <c r="G33" i="10"/>
  <c r="G32" i="10"/>
  <c r="G29" i="10"/>
  <c r="G29" i="9"/>
  <c r="G34" i="9"/>
  <c r="G33" i="9"/>
  <c r="G33" i="1"/>
  <c r="G29" i="1"/>
  <c r="G35" i="1"/>
  <c r="G34" i="1"/>
  <c r="G30" i="1"/>
  <c r="E29" i="9" l="1"/>
  <c r="E30" i="9"/>
  <c r="E31" i="9"/>
  <c r="E32" i="9"/>
  <c r="E33" i="9"/>
  <c r="E34" i="9"/>
  <c r="K46" i="9" l="1"/>
  <c r="C14" i="11"/>
  <c r="E31" i="1"/>
  <c r="O38" i="10"/>
  <c r="N38" i="10"/>
  <c r="K38" i="10"/>
  <c r="H38" i="10"/>
  <c r="N37" i="10"/>
  <c r="M37" i="10"/>
  <c r="L37" i="10"/>
  <c r="K37" i="10"/>
  <c r="J37" i="10"/>
  <c r="I37" i="10"/>
  <c r="H37" i="10"/>
  <c r="O35" i="10"/>
  <c r="N35" i="10"/>
  <c r="M35" i="10"/>
  <c r="L35" i="10"/>
  <c r="K35" i="10"/>
  <c r="J35" i="10"/>
  <c r="I35" i="10"/>
  <c r="H35" i="10"/>
  <c r="N34" i="10"/>
  <c r="M34" i="10"/>
  <c r="L34" i="10"/>
  <c r="K34" i="10"/>
  <c r="J34" i="10"/>
  <c r="I34" i="10"/>
  <c r="H34" i="10"/>
  <c r="O33" i="10"/>
  <c r="N33" i="10"/>
  <c r="L33" i="10"/>
  <c r="K33" i="10"/>
  <c r="J33" i="10"/>
  <c r="I33" i="10"/>
  <c r="H33" i="10"/>
  <c r="N36" i="10"/>
  <c r="M36" i="10"/>
  <c r="L36" i="10"/>
  <c r="K36" i="10"/>
  <c r="J36" i="10"/>
  <c r="I36" i="10"/>
  <c r="H36" i="10"/>
  <c r="J32" i="10"/>
  <c r="I32" i="10"/>
  <c r="H32" i="10"/>
  <c r="O30" i="10"/>
  <c r="O40" i="10" s="1"/>
  <c r="O42" i="10" s="1"/>
  <c r="K7" i="11" s="1"/>
  <c r="N30" i="10"/>
  <c r="M30" i="10"/>
  <c r="L30" i="10"/>
  <c r="K30" i="10"/>
  <c r="J30" i="10"/>
  <c r="I30" i="10"/>
  <c r="H30" i="10"/>
  <c r="L29" i="10"/>
  <c r="K29" i="10"/>
  <c r="H29" i="10"/>
  <c r="N34" i="9"/>
  <c r="M34" i="9"/>
  <c r="L34" i="9"/>
  <c r="K34" i="9"/>
  <c r="J34" i="9"/>
  <c r="I34" i="9"/>
  <c r="H34" i="9"/>
  <c r="O32" i="9"/>
  <c r="N32" i="9"/>
  <c r="N36" i="9" s="1"/>
  <c r="N38" i="9" s="1"/>
  <c r="J6" i="11" s="1"/>
  <c r="M32" i="9"/>
  <c r="L32" i="9"/>
  <c r="L36" i="9" s="1"/>
  <c r="L38" i="9" s="1"/>
  <c r="H6" i="11" s="1"/>
  <c r="K32" i="9"/>
  <c r="J32" i="9"/>
  <c r="H32" i="9"/>
  <c r="N35" i="1"/>
  <c r="L35" i="1"/>
  <c r="J35" i="1"/>
  <c r="H35" i="1"/>
  <c r="M34" i="1"/>
  <c r="H34" i="1"/>
  <c r="N33" i="1"/>
  <c r="L33" i="1"/>
  <c r="H33" i="1"/>
  <c r="H30" i="1"/>
  <c r="O31" i="9"/>
  <c r="K30" i="9"/>
  <c r="K29" i="9"/>
  <c r="J30" i="9"/>
  <c r="J31" i="9"/>
  <c r="J33" i="9"/>
  <c r="J29" i="9"/>
  <c r="I33" i="9"/>
  <c r="I30" i="9"/>
  <c r="I31" i="9"/>
  <c r="I29" i="9"/>
  <c r="H30" i="9"/>
  <c r="H31" i="9"/>
  <c r="H33" i="9"/>
  <c r="H29" i="9"/>
  <c r="G30" i="9"/>
  <c r="G31" i="9"/>
  <c r="E31" i="10"/>
  <c r="E30" i="10"/>
  <c r="E32" i="10"/>
  <c r="E33" i="10"/>
  <c r="E34" i="10"/>
  <c r="E35" i="10"/>
  <c r="E36" i="10"/>
  <c r="E37" i="10"/>
  <c r="E38" i="10"/>
  <c r="E29" i="10"/>
  <c r="K52" i="10"/>
  <c r="E30" i="1"/>
  <c r="E32" i="1"/>
  <c r="E34" i="1"/>
  <c r="E29" i="1"/>
  <c r="K48" i="9"/>
  <c r="K49" i="1"/>
  <c r="K50" i="10" l="1"/>
  <c r="L40" i="10"/>
  <c r="L42" i="10" s="1"/>
  <c r="H7" i="11" s="1"/>
  <c r="M40" i="10"/>
  <c r="M42" i="10" s="1"/>
  <c r="I7" i="11" s="1"/>
  <c r="J40" i="10"/>
  <c r="J42" i="10" s="1"/>
  <c r="F7" i="11" s="1"/>
  <c r="C15" i="11"/>
  <c r="K40" i="10"/>
  <c r="K42" i="10" s="1"/>
  <c r="G7" i="11" s="1"/>
  <c r="G36" i="9"/>
  <c r="E35" i="1"/>
  <c r="E33" i="1"/>
  <c r="K47" i="1" s="1"/>
  <c r="C13" i="11" s="1"/>
  <c r="K33" i="1"/>
  <c r="M33" i="1"/>
  <c r="O33" i="1"/>
  <c r="I35" i="1"/>
  <c r="K35" i="1"/>
  <c r="M35" i="1"/>
  <c r="O35" i="1"/>
  <c r="H36" i="9"/>
  <c r="H38" i="9" s="1"/>
  <c r="D6" i="11" s="1"/>
  <c r="I36" i="9"/>
  <c r="I38" i="9" s="1"/>
  <c r="E6" i="11" s="1"/>
  <c r="J36" i="9"/>
  <c r="J38" i="9" s="1"/>
  <c r="F6" i="11" s="1"/>
  <c r="K36" i="9"/>
  <c r="K38" i="9" s="1"/>
  <c r="G6" i="11" s="1"/>
  <c r="O36" i="9"/>
  <c r="O38" i="9" s="1"/>
  <c r="K6" i="11" s="1"/>
  <c r="M36" i="9"/>
  <c r="M38" i="9" s="1"/>
  <c r="I6" i="11" s="1"/>
  <c r="J30" i="1"/>
  <c r="J37" i="1" s="1"/>
  <c r="J39" i="1" s="1"/>
  <c r="F5" i="11" s="1"/>
  <c r="K34" i="1"/>
  <c r="O34" i="1"/>
  <c r="I30" i="1"/>
  <c r="I34" i="1"/>
  <c r="L34" i="1"/>
  <c r="L37" i="1" s="1"/>
  <c r="L39" i="1" s="1"/>
  <c r="H5" i="11" s="1"/>
  <c r="N34" i="1"/>
  <c r="H37" i="1"/>
  <c r="H39" i="1" s="1"/>
  <c r="D5" i="11" s="1"/>
  <c r="N37" i="1"/>
  <c r="N39" i="1" s="1"/>
  <c r="J5" i="11" s="1"/>
  <c r="K37" i="1"/>
  <c r="K39" i="1" s="1"/>
  <c r="G5" i="11" s="1"/>
  <c r="H40" i="10"/>
  <c r="H42" i="10" s="1"/>
  <c r="D7" i="11" s="1"/>
  <c r="I40" i="10"/>
  <c r="I42" i="10" s="1"/>
  <c r="E7" i="11" s="1"/>
  <c r="G40" i="10"/>
  <c r="G42" i="10" s="1"/>
  <c r="N40" i="10"/>
  <c r="N42" i="10" s="1"/>
  <c r="J7" i="11" s="1"/>
  <c r="K49" i="9"/>
  <c r="K50" i="9" s="1"/>
  <c r="D13" i="11" l="1"/>
  <c r="C7" i="11"/>
  <c r="K53" i="10"/>
  <c r="K56" i="10" s="1"/>
  <c r="G38" i="9"/>
  <c r="C6" i="11" s="1"/>
  <c r="M37" i="1"/>
  <c r="M39" i="1" s="1"/>
  <c r="I5" i="11" s="1"/>
  <c r="O37" i="1"/>
  <c r="O39" i="1" s="1"/>
  <c r="K5" i="11" s="1"/>
  <c r="I37" i="1"/>
  <c r="I39" i="1" s="1"/>
  <c r="E5" i="11" s="1"/>
  <c r="K52" i="9"/>
  <c r="K50" i="1"/>
  <c r="K53" i="1" s="1"/>
  <c r="K54" i="10" l="1"/>
  <c r="K51" i="1"/>
  <c r="G37" i="1"/>
  <c r="G39" i="1" s="1"/>
  <c r="C5" i="11" s="1"/>
  <c r="L5" i="11" s="1"/>
</calcChain>
</file>

<file path=xl/sharedStrings.xml><?xml version="1.0" encoding="utf-8"?>
<sst xmlns="http://schemas.openxmlformats.org/spreadsheetml/2006/main" count="263" uniqueCount="92">
  <si>
    <t>FICHA TÉCNICA COZINHA</t>
  </si>
  <si>
    <t>Sim</t>
  </si>
  <si>
    <t>Não</t>
  </si>
  <si>
    <t>Ponto de Venda/Outlet:</t>
  </si>
  <si>
    <t>Categoria:</t>
  </si>
  <si>
    <t>Nº doses por receita:</t>
  </si>
  <si>
    <t>Confeção (receita):</t>
  </si>
  <si>
    <t>Tempo Confecção:</t>
  </si>
  <si>
    <t>Valores Ideais</t>
  </si>
  <si>
    <t>Total PC</t>
  </si>
  <si>
    <t>Rácio /Food Cost (%)</t>
  </si>
  <si>
    <t>Mark up:</t>
  </si>
  <si>
    <t>Total PV</t>
  </si>
  <si>
    <t>Margem contribuição</t>
  </si>
  <si>
    <t>IVA</t>
  </si>
  <si>
    <t>PVP</t>
  </si>
  <si>
    <t>Elaborado por</t>
  </si>
  <si>
    <t>Data:</t>
  </si>
  <si>
    <t>Entrada</t>
  </si>
  <si>
    <t>Água</t>
  </si>
  <si>
    <t>Sal</t>
  </si>
  <si>
    <t>Azeite</t>
  </si>
  <si>
    <t>kg</t>
  </si>
  <si>
    <t>l</t>
  </si>
  <si>
    <t>Temperatura Confeção:</t>
  </si>
  <si>
    <t>Alimento</t>
  </si>
  <si>
    <t xml:space="preserve">Energia
[kcal] </t>
  </si>
  <si>
    <t xml:space="preserve">Energia
[kJ] </t>
  </si>
  <si>
    <t>Lípidos
[g]</t>
  </si>
  <si>
    <t xml:space="preserve">Ácidos gordos saturados
[g] </t>
  </si>
  <si>
    <t>Hidratos de carbono 
[g]</t>
  </si>
  <si>
    <t xml:space="preserve">Açúcares 
[g] </t>
  </si>
  <si>
    <t>Fibra  
[g]</t>
  </si>
  <si>
    <t xml:space="preserve">Proteínas 
[g] </t>
  </si>
  <si>
    <t>Sal  
[g]</t>
  </si>
  <si>
    <t>[kcal]</t>
  </si>
  <si>
    <t>[kj]</t>
  </si>
  <si>
    <t>[g]</t>
  </si>
  <si>
    <t>Unidade medida</t>
  </si>
  <si>
    <t>Componente alergénio</t>
  </si>
  <si>
    <t>Quantidade total utilizada</t>
  </si>
  <si>
    <t>Valor total do compoente nutricional na refeição</t>
  </si>
  <si>
    <t>Prato principal</t>
  </si>
  <si>
    <t>Valores nutricionais por quantidade total utilizada</t>
  </si>
  <si>
    <t>Sobremesa</t>
  </si>
  <si>
    <t>Valor por dose</t>
  </si>
  <si>
    <t>Batata doce</t>
  </si>
  <si>
    <t>Lentilhas</t>
  </si>
  <si>
    <t>Batata</t>
  </si>
  <si>
    <t>Cebola</t>
  </si>
  <si>
    <t>Alho</t>
  </si>
  <si>
    <t>0</t>
  </si>
  <si>
    <r>
      <rPr>
        <b/>
        <sz val="11"/>
        <rFont val="Arial Narrow"/>
        <family val="2"/>
      </rPr>
      <t>Alimentos Alergénios</t>
    </r>
    <r>
      <rPr>
        <sz val="11"/>
        <rFont val="Arial Narrow"/>
        <family val="2"/>
      </rPr>
      <t>:   Cereais que contêm glúten; Soja e produtos à base de soja; Leite e produtos à base de leite (incluindo lactose);  Frutos secos de casca rija; Amendoim e produtos à base de amendoim, Aipo e produtos à base de aipo, Sementes de Sésamo e produtos à base de sementes de sésamo; Tremoço e produtos à base de tremoço; Crustáceos e produtos à base de Crustáceos; Muluscos e produtos à base de muluscos; Peixe e produtos à base de peixe; Ovos e produtos à base de ovos; Dióxido de Enxofre e Sulfitos em concentrações superiores a 10 mg/kg ou 10 mg/l expressos em SO2</t>
    </r>
  </si>
  <si>
    <t>13</t>
  </si>
  <si>
    <t>Creme de Lentilhas</t>
  </si>
  <si>
    <t>foto</t>
  </si>
  <si>
    <t>Cavala c/puré de batata doce e legumes salteados</t>
  </si>
  <si>
    <t>Desafio Eco Ementas</t>
  </si>
  <si>
    <t>Cavala</t>
  </si>
  <si>
    <t>Farinha de milho</t>
  </si>
  <si>
    <t>Curgete</t>
  </si>
  <si>
    <t>Broinhas de curgete e grão-de-bico</t>
  </si>
  <si>
    <t>Grão-de-bico</t>
  </si>
  <si>
    <t>Ovos</t>
  </si>
  <si>
    <t>Raspa de limão</t>
  </si>
  <si>
    <t>Canela</t>
  </si>
  <si>
    <t xml:space="preserve">Fermento em pó </t>
  </si>
  <si>
    <t>un</t>
  </si>
  <si>
    <t>Farinha de trigo</t>
  </si>
  <si>
    <t>Cozer o grão-de-bico. Num processador triturar o grão-de-bico cozido. Verter o preparado para uma taça, juntar a curgete ralada e os restantes ingredientes envolvendo-os com a ajuda de uma espátula. Faça bolinhas pequenas em forma de broa e coloque-as num tabuleiro forrado com papel vegetal. Leve-as a cozer em forno médio.</t>
  </si>
  <si>
    <t>Açúcar amarelo</t>
  </si>
  <si>
    <r>
      <t xml:space="preserve">Custo total </t>
    </r>
    <r>
      <rPr>
        <b/>
        <sz val="11"/>
        <color theme="1"/>
        <rFont val="Calibri"/>
        <family val="2"/>
      </rPr>
      <t>€</t>
    </r>
  </si>
  <si>
    <t>Custo unitário €</t>
  </si>
  <si>
    <t>Custo unitário
€</t>
  </si>
  <si>
    <r>
      <t xml:space="preserve">Custo total
</t>
    </r>
    <r>
      <rPr>
        <b/>
        <sz val="11"/>
        <color theme="1"/>
        <rFont val="Calibri"/>
        <family val="2"/>
      </rPr>
      <t>€</t>
    </r>
  </si>
  <si>
    <t>Custo total
€</t>
  </si>
  <si>
    <t>621</t>
  </si>
  <si>
    <t>Leite UHT meio gordo</t>
  </si>
  <si>
    <t>Arranjar a cavala, retirar os filetes, temperar com sal e passar pela farinha de milho. Assar a batata doce no forno com casca, depois de cozido, retirar a casca e triturar, por fiim adicionar o azeite e redficar temperos. Usando a casca da curgete da sobremesa, colocar num recipiente com água, gelo e açúcar e deixar marinar por uns minutos.</t>
  </si>
  <si>
    <t>Num tacho colocar o azeite, refogar a cebola com o alho, de seguida juntar as lentilhas e a batata, por fim a água e deixar cozer. Triturar e retificar temperos.</t>
  </si>
  <si>
    <t>PVT</t>
  </si>
  <si>
    <t>Prato</t>
  </si>
  <si>
    <t>Dose por pessoa</t>
  </si>
  <si>
    <t xml:space="preserve">Valor energático da refeição completa
[kcal] </t>
  </si>
  <si>
    <r>
      <t>Preço  por pessoa
[</t>
    </r>
    <r>
      <rPr>
        <b/>
        <sz val="8"/>
        <color theme="1"/>
        <rFont val="Calibri"/>
        <family val="2"/>
      </rPr>
      <t>€</t>
    </r>
    <r>
      <rPr>
        <b/>
        <i/>
        <sz val="8"/>
        <color theme="1"/>
        <rFont val="Calibri Light"/>
        <family val="2"/>
        <scheme val="major"/>
      </rPr>
      <t xml:space="preserve">]
</t>
    </r>
  </si>
  <si>
    <t>1400 a 2400 género feminino
2000 a 3200 género masculino</t>
  </si>
  <si>
    <t xml:space="preserve">Valores de referência entre os 14 e os 18 anos 
[kcal] </t>
  </si>
  <si>
    <t>Preço menu completo, por pessoa 
[€]</t>
  </si>
  <si>
    <t>Alergénio</t>
  </si>
  <si>
    <t>cerca de  30% das calorias diárias necessárias para um dieta de 2400 kcal</t>
  </si>
  <si>
    <r>
      <t>Valor total do compoente nutricional na refeição</t>
    </r>
    <r>
      <rPr>
        <sz val="11"/>
        <color rgb="FF000000"/>
        <rFont val="Arial Narrow"/>
        <family val="2"/>
      </rPr>
      <t xml:space="preserve"> (5 broinhas)</t>
    </r>
  </si>
  <si>
    <r>
      <t xml:space="preserve">Valor por dose </t>
    </r>
    <r>
      <rPr>
        <sz val="11"/>
        <color rgb="FF000000"/>
        <rFont val="Arial Narrow"/>
        <family val="2"/>
      </rPr>
      <t>(2 broinha)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</si>
</sst>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"/>
    <numFmt numFmtId="165" formatCode="_([$€-2]\ * #,##0.00_);_([$€-2]\ * \(#,##0.00\);_([$€-2]\ * &quot;-&quot;??_);_(@_)"/>
    <numFmt numFmtId="166" formatCode="0.000"/>
    <numFmt numFmtId="167" formatCode="_ * #,##0.00_)\ &quot;€&quot;_ ;_ * \(#,##0.00\)\ &quot;€&quot;_ ;_ * &quot;-&quot;??_)\ &quot;€&quot;_ ;_ @_ "/>
    <numFmt numFmtId="168" formatCode="0.0"/>
    <numFmt numFmtId="169" formatCode="#,##0.00\ [$€-816]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u/>
      <sz val="11"/>
      <name val="Arial Narrow"/>
      <family val="2"/>
    </font>
    <font>
      <u/>
      <sz val="11"/>
      <name val="Arial Narrow"/>
      <family val="2"/>
    </font>
    <font>
      <b/>
      <sz val="11"/>
      <color theme="1"/>
      <name val="Calibri"/>
      <family val="2"/>
    </font>
    <font>
      <b/>
      <sz val="8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i/>
      <sz val="8"/>
      <color theme="1"/>
      <name val="Calibri Light"/>
      <family val="2"/>
      <scheme val="major"/>
    </font>
    <font>
      <b/>
      <i/>
      <sz val="8"/>
      <color theme="1"/>
      <name val="Calibri Light"/>
      <family val="2"/>
      <scheme val="major"/>
    </font>
    <font>
      <b/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1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166" fontId="7" fillId="0" borderId="30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165" fontId="2" fillId="3" borderId="16" xfId="0" applyNumberFormat="1" applyFont="1" applyFill="1" applyBorder="1" applyAlignment="1">
      <alignment horizontal="right" vertical="center"/>
    </xf>
    <xf numFmtId="9" fontId="2" fillId="3" borderId="19" xfId="0" applyNumberFormat="1" applyFont="1" applyFill="1" applyBorder="1" applyAlignment="1">
      <alignment horizontal="right" vertical="center"/>
    </xf>
    <xf numFmtId="168" fontId="2" fillId="3" borderId="19" xfId="0" applyNumberFormat="1" applyFont="1" applyFill="1" applyBorder="1" applyAlignment="1">
      <alignment horizontal="right" vertical="center"/>
    </xf>
    <xf numFmtId="165" fontId="2" fillId="3" borderId="19" xfId="0" applyNumberFormat="1" applyFont="1" applyFill="1" applyBorder="1" applyAlignment="1">
      <alignment horizontal="right" vertical="center"/>
    </xf>
    <xf numFmtId="165" fontId="2" fillId="3" borderId="24" xfId="0" applyNumberFormat="1" applyFont="1" applyFill="1" applyBorder="1" applyAlignment="1">
      <alignment horizontal="right" vertical="center"/>
    </xf>
    <xf numFmtId="169" fontId="4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9" fontId="2" fillId="3" borderId="0" xfId="0" applyNumberFormat="1" applyFont="1" applyFill="1" applyBorder="1" applyAlignment="1">
      <alignment horizontal="center" vertical="center"/>
    </xf>
    <xf numFmtId="165" fontId="2" fillId="3" borderId="38" xfId="0" applyNumberFormat="1" applyFont="1" applyFill="1" applyBorder="1" applyAlignment="1">
      <alignment horizontal="right" vertical="center"/>
    </xf>
    <xf numFmtId="9" fontId="2" fillId="3" borderId="40" xfId="0" applyNumberFormat="1" applyFont="1" applyFill="1" applyBorder="1" applyAlignment="1">
      <alignment horizontal="right" vertical="center"/>
    </xf>
    <xf numFmtId="168" fontId="2" fillId="3" borderId="40" xfId="0" applyNumberFormat="1" applyFont="1" applyFill="1" applyBorder="1" applyAlignment="1">
      <alignment horizontal="right" vertical="center"/>
    </xf>
    <xf numFmtId="165" fontId="2" fillId="3" borderId="40" xfId="0" applyNumberFormat="1" applyFont="1" applyFill="1" applyBorder="1" applyAlignment="1">
      <alignment horizontal="right" vertical="center"/>
    </xf>
    <xf numFmtId="165" fontId="2" fillId="3" borderId="45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8" fontId="7" fillId="0" borderId="3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30" xfId="0" applyNumberFormat="1" applyFont="1" applyBorder="1" applyAlignment="1">
      <alignment horizontal="center" vertical="center"/>
    </xf>
    <xf numFmtId="168" fontId="7" fillId="0" borderId="2" xfId="0" applyNumberFormat="1" applyFont="1" applyBorder="1" applyAlignment="1">
      <alignment horizontal="center" vertical="center"/>
    </xf>
    <xf numFmtId="168" fontId="7" fillId="0" borderId="7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5" fillId="10" borderId="52" xfId="0" applyFont="1" applyFill="1" applyBorder="1" applyAlignment="1">
      <alignment horizontal="center" vertical="center" wrapText="1"/>
    </xf>
    <xf numFmtId="0" fontId="12" fillId="6" borderId="54" xfId="0" applyFont="1" applyFill="1" applyBorder="1" applyAlignment="1">
      <alignment horizontal="center" vertical="center" wrapText="1"/>
    </xf>
    <xf numFmtId="0" fontId="12" fillId="6" borderId="55" xfId="0" applyFont="1" applyFill="1" applyBorder="1" applyAlignment="1">
      <alignment horizontal="center" vertical="center" wrapText="1"/>
    </xf>
    <xf numFmtId="0" fontId="12" fillId="6" borderId="53" xfId="0" applyFont="1" applyFill="1" applyBorder="1" applyAlignment="1">
      <alignment horizontal="center" vertical="center" wrapText="1"/>
    </xf>
    <xf numFmtId="4" fontId="12" fillId="0" borderId="56" xfId="0" applyNumberFormat="1" applyFont="1" applyFill="1" applyBorder="1" applyAlignment="1">
      <alignment horizontal="center" vertical="center" wrapText="1"/>
    </xf>
    <xf numFmtId="4" fontId="12" fillId="0" borderId="58" xfId="0" applyNumberFormat="1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164" fontId="18" fillId="0" borderId="27" xfId="0" applyNumberFormat="1" applyFont="1" applyBorder="1" applyAlignment="1">
      <alignment horizontal="center" vertical="center"/>
    </xf>
    <xf numFmtId="166" fontId="18" fillId="0" borderId="27" xfId="0" applyNumberFormat="1" applyFont="1" applyBorder="1" applyAlignment="1">
      <alignment horizontal="center" vertical="center"/>
    </xf>
    <xf numFmtId="0" fontId="12" fillId="7" borderId="61" xfId="0" applyFont="1" applyFill="1" applyBorder="1" applyAlignment="1">
      <alignment horizontal="center" vertical="center"/>
    </xf>
    <xf numFmtId="0" fontId="12" fillId="8" borderId="62" xfId="0" applyFont="1" applyFill="1" applyBorder="1" applyAlignment="1">
      <alignment horizontal="center" vertical="center"/>
    </xf>
    <xf numFmtId="0" fontId="12" fillId="9" borderId="63" xfId="0" applyFont="1" applyFill="1" applyBorder="1" applyAlignment="1">
      <alignment horizontal="center" vertical="center"/>
    </xf>
    <xf numFmtId="4" fontId="12" fillId="0" borderId="59" xfId="0" applyNumberFormat="1" applyFont="1" applyFill="1" applyBorder="1" applyAlignment="1">
      <alignment horizontal="center" vertical="center" wrapText="1"/>
    </xf>
    <xf numFmtId="3" fontId="12" fillId="0" borderId="56" xfId="0" applyNumberFormat="1" applyFont="1" applyFill="1" applyBorder="1" applyAlignment="1">
      <alignment horizontal="center" vertical="center" wrapText="1"/>
    </xf>
    <xf numFmtId="3" fontId="12" fillId="0" borderId="57" xfId="0" applyNumberFormat="1" applyFont="1" applyFill="1" applyBorder="1" applyAlignment="1">
      <alignment horizontal="center" vertical="center" wrapText="1"/>
    </xf>
    <xf numFmtId="3" fontId="12" fillId="0" borderId="38" xfId="0" applyNumberFormat="1" applyFont="1" applyFill="1" applyBorder="1" applyAlignment="1">
      <alignment horizontal="center" vertical="center" wrapText="1"/>
    </xf>
    <xf numFmtId="3" fontId="12" fillId="0" borderId="58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 wrapText="1"/>
    </xf>
    <xf numFmtId="3" fontId="12" fillId="0" borderId="40" xfId="0" applyNumberFormat="1" applyFont="1" applyFill="1" applyBorder="1" applyAlignment="1">
      <alignment horizontal="center" vertical="center" wrapText="1"/>
    </xf>
    <xf numFmtId="3" fontId="12" fillId="0" borderId="59" xfId="0" applyNumberFormat="1" applyFont="1" applyBorder="1" applyAlignment="1">
      <alignment horizontal="center" vertical="center"/>
    </xf>
    <xf numFmtId="3" fontId="12" fillId="0" borderId="60" xfId="0" applyNumberFormat="1" applyFont="1" applyBorder="1" applyAlignment="1">
      <alignment horizontal="center" vertical="center"/>
    </xf>
    <xf numFmtId="3" fontId="12" fillId="0" borderId="45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shrinkToFit="1"/>
    </xf>
    <xf numFmtId="164" fontId="8" fillId="0" borderId="25" xfId="0" applyNumberFormat="1" applyFont="1" applyBorder="1" applyAlignment="1">
      <alignment horizontal="center" vertical="center" wrapText="1"/>
    </xf>
    <xf numFmtId="164" fontId="8" fillId="0" borderId="32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3" fillId="3" borderId="1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3" fontId="12" fillId="0" borderId="49" xfId="0" applyNumberFormat="1" applyFont="1" applyBorder="1" applyAlignment="1">
      <alignment horizontal="center" vertical="center"/>
    </xf>
    <xf numFmtId="3" fontId="12" fillId="0" borderId="50" xfId="0" applyNumberFormat="1" applyFont="1" applyBorder="1" applyAlignment="1">
      <alignment horizontal="center" vertical="center"/>
    </xf>
    <xf numFmtId="3" fontId="12" fillId="0" borderId="51" xfId="0" applyNumberFormat="1" applyFont="1" applyBorder="1" applyAlignment="1">
      <alignment horizontal="center" vertical="center"/>
    </xf>
    <xf numFmtId="4" fontId="13" fillId="0" borderId="52" xfId="0" applyNumberFormat="1" applyFont="1" applyBorder="1" applyAlignment="1">
      <alignment horizontal="center" vertical="center" wrapText="1"/>
    </xf>
    <xf numFmtId="4" fontId="13" fillId="0" borderId="46" xfId="0" applyNumberFormat="1" applyFont="1" applyBorder="1" applyAlignment="1">
      <alignment horizontal="center" vertical="center" wrapText="1"/>
    </xf>
    <xf numFmtId="4" fontId="13" fillId="0" borderId="47" xfId="0" applyNumberFormat="1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" fontId="12" fillId="0" borderId="38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center" vertical="center" wrapText="1"/>
    </xf>
    <xf numFmtId="4" fontId="12" fillId="0" borderId="45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A8F2B32A-DD0E-4312-A470-209E01B56969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105832</xdr:rowOff>
    </xdr:from>
    <xdr:to>
      <xdr:col>3</xdr:col>
      <xdr:colOff>126638</xdr:colOff>
      <xdr:row>3</xdr:row>
      <xdr:rowOff>36829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F1F58F4-6523-4333-989E-4D5000D0ED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5832"/>
          <a:ext cx="2684781" cy="5240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105832</xdr:rowOff>
    </xdr:from>
    <xdr:to>
      <xdr:col>3</xdr:col>
      <xdr:colOff>126638</xdr:colOff>
      <xdr:row>3</xdr:row>
      <xdr:rowOff>36829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6E0DFEB-F0F1-4BF5-A81D-C2904FB370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5832"/>
          <a:ext cx="2679338" cy="5596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105832</xdr:rowOff>
    </xdr:from>
    <xdr:to>
      <xdr:col>3</xdr:col>
      <xdr:colOff>126638</xdr:colOff>
      <xdr:row>3</xdr:row>
      <xdr:rowOff>36829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E76C6A6-DE82-4049-938F-5B197D3D90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5832"/>
          <a:ext cx="2679338" cy="5596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6A2BE-2C5B-4BAA-9407-76521D1FC562}">
  <dimension ref="A1:R62"/>
  <sheetViews>
    <sheetView topLeftCell="A50" zoomScale="80" zoomScaleNormal="80" workbookViewId="0">
      <selection activeCell="P29" sqref="P29"/>
    </sheetView>
  </sheetViews>
  <sheetFormatPr defaultRowHeight="16.5" x14ac:dyDescent="0.25"/>
  <cols>
    <col min="1" max="1" width="20.28515625" style="2" customWidth="1"/>
    <col min="2" max="2" width="13.42578125" style="2" customWidth="1"/>
    <col min="3" max="3" width="8.85546875" style="2" customWidth="1"/>
    <col min="4" max="4" width="11" style="2" customWidth="1"/>
    <col min="5" max="5" width="10" style="2" customWidth="1"/>
    <col min="6" max="6" width="13" style="2" customWidth="1"/>
    <col min="7" max="7" width="12" style="2" customWidth="1"/>
    <col min="8" max="8" width="13.28515625" style="2" customWidth="1"/>
    <col min="9" max="10" width="9.140625" style="2"/>
    <col min="11" max="11" width="11" style="2" customWidth="1"/>
    <col min="12" max="12" width="8.85546875" style="2" customWidth="1"/>
    <col min="13" max="13" width="8.28515625" style="2" customWidth="1"/>
    <col min="14" max="14" width="10.140625" style="2" customWidth="1"/>
    <col min="15" max="15" width="8.7109375" style="2" customWidth="1"/>
    <col min="16" max="16" width="11.7109375" style="2" customWidth="1"/>
    <col min="17" max="16384" width="9.140625" style="2"/>
  </cols>
  <sheetData>
    <row r="1" spans="1:15" x14ac:dyDescent="0.2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  <c r="M1" s="1"/>
    </row>
    <row r="2" spans="1:15" x14ac:dyDescent="0.25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3"/>
      <c r="M2" s="3" t="s">
        <v>1</v>
      </c>
    </row>
    <row r="3" spans="1:15" x14ac:dyDescent="0.2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3"/>
      <c r="M3" s="3" t="s">
        <v>2</v>
      </c>
    </row>
    <row r="4" spans="1:15" x14ac:dyDescent="0.25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6"/>
      <c r="M4" s="3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/>
      <c r="M5" s="3"/>
    </row>
    <row r="6" spans="1:15" x14ac:dyDescent="0.25">
      <c r="A6" s="1"/>
      <c r="B6" s="5"/>
      <c r="C6" s="141"/>
      <c r="D6" s="141"/>
      <c r="E6" s="141"/>
      <c r="F6" s="141" t="s">
        <v>3</v>
      </c>
      <c r="G6" s="141"/>
      <c r="H6" s="157"/>
      <c r="I6" s="142" t="s">
        <v>57</v>
      </c>
      <c r="J6" s="143"/>
      <c r="K6" s="143"/>
      <c r="L6" s="144"/>
      <c r="M6" s="3"/>
    </row>
    <row r="7" spans="1:15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3"/>
    </row>
    <row r="8" spans="1:15" x14ac:dyDescent="0.25">
      <c r="A8" s="1"/>
      <c r="B8" s="5"/>
      <c r="C8" s="5"/>
      <c r="D8" s="5"/>
      <c r="E8" s="5"/>
      <c r="F8" s="141" t="s">
        <v>4</v>
      </c>
      <c r="G8" s="141"/>
      <c r="H8" s="157"/>
      <c r="I8" s="142" t="s">
        <v>18</v>
      </c>
      <c r="J8" s="143"/>
      <c r="K8" s="143"/>
      <c r="L8" s="144"/>
      <c r="M8" s="3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6"/>
      <c r="N9" s="7"/>
      <c r="O9" s="7"/>
    </row>
    <row r="10" spans="1:15" x14ac:dyDescent="0.25">
      <c r="A10" s="1"/>
      <c r="B10" s="5"/>
      <c r="C10" s="141"/>
      <c r="D10" s="141"/>
      <c r="E10" s="141"/>
      <c r="F10" s="1"/>
      <c r="G10" s="141" t="s">
        <v>5</v>
      </c>
      <c r="H10" s="157"/>
      <c r="I10" s="142">
        <v>5</v>
      </c>
      <c r="J10" s="143"/>
      <c r="K10" s="143"/>
      <c r="L10" s="144"/>
      <c r="M10" s="8"/>
      <c r="N10" s="7"/>
      <c r="O10" s="7"/>
    </row>
    <row r="11" spans="1:15" ht="17.2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8"/>
      <c r="N11" s="7"/>
      <c r="O11" s="7"/>
    </row>
    <row r="12" spans="1:15" ht="25.5" customHeight="1" thickBot="1" x14ac:dyDescent="0.3">
      <c r="A12" s="145" t="s">
        <v>54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7"/>
      <c r="M12" s="8"/>
      <c r="N12" s="7"/>
      <c r="O12" s="7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8"/>
      <c r="N13" s="7"/>
      <c r="O13" s="7"/>
    </row>
    <row r="14" spans="1:15" x14ac:dyDescent="0.25">
      <c r="A14" s="160" t="s">
        <v>55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2"/>
      <c r="M14" s="8"/>
      <c r="N14" s="7"/>
      <c r="O14" s="7"/>
    </row>
    <row r="15" spans="1:15" x14ac:dyDescent="0.25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5"/>
      <c r="M15" s="8"/>
      <c r="N15" s="7"/>
      <c r="O15" s="7"/>
    </row>
    <row r="16" spans="1:15" x14ac:dyDescent="0.25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5"/>
      <c r="M16" s="8"/>
      <c r="N16" s="7"/>
      <c r="O16" s="7"/>
    </row>
    <row r="17" spans="1:15" x14ac:dyDescent="0.25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5"/>
      <c r="M17" s="8"/>
      <c r="N17" s="7"/>
      <c r="O17" s="7"/>
    </row>
    <row r="18" spans="1:15" x14ac:dyDescent="0.25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5"/>
      <c r="M18" s="8"/>
      <c r="N18" s="7"/>
      <c r="O18" s="7"/>
    </row>
    <row r="19" spans="1:15" x14ac:dyDescent="0.25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5"/>
      <c r="M19" s="8"/>
      <c r="N19" s="7"/>
      <c r="O19" s="7"/>
    </row>
    <row r="20" spans="1:15" x14ac:dyDescent="0.25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5"/>
      <c r="M20" s="8"/>
      <c r="N20" s="7"/>
      <c r="O20" s="7"/>
    </row>
    <row r="21" spans="1:15" x14ac:dyDescent="0.25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5"/>
      <c r="M21" s="8"/>
      <c r="N21" s="7"/>
      <c r="O21" s="7"/>
    </row>
    <row r="22" spans="1:15" x14ac:dyDescent="0.25">
      <c r="A22" s="163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5"/>
      <c r="M22" s="8"/>
      <c r="N22" s="7"/>
      <c r="O22" s="7"/>
    </row>
    <row r="23" spans="1:15" x14ac:dyDescent="0.25">
      <c r="A23" s="163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5"/>
      <c r="M23" s="8"/>
      <c r="N23" s="7"/>
      <c r="O23" s="7"/>
    </row>
    <row r="24" spans="1:15" x14ac:dyDescent="0.25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5"/>
      <c r="M24" s="8"/>
      <c r="N24" s="7"/>
      <c r="O24" s="7"/>
    </row>
    <row r="25" spans="1:15" x14ac:dyDescent="0.25">
      <c r="A25" s="16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8"/>
      <c r="M25" s="8"/>
      <c r="N25" s="7"/>
      <c r="O25" s="7"/>
    </row>
    <row r="26" spans="1:1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1"/>
      <c r="M26" s="8"/>
      <c r="N26" s="7"/>
      <c r="O26" s="7"/>
    </row>
    <row r="27" spans="1:15" ht="36.75" customHeight="1" x14ac:dyDescent="0.25">
      <c r="A27" s="169"/>
      <c r="B27" s="169"/>
      <c r="C27" s="9"/>
      <c r="D27" s="169"/>
      <c r="E27" s="169"/>
      <c r="F27" s="142" t="s">
        <v>43</v>
      </c>
      <c r="G27" s="143"/>
      <c r="H27" s="143"/>
      <c r="I27" s="143"/>
      <c r="J27" s="143"/>
      <c r="K27" s="143"/>
      <c r="L27" s="143"/>
      <c r="M27" s="143"/>
      <c r="N27" s="143"/>
      <c r="O27" s="144"/>
    </row>
    <row r="28" spans="1:15" ht="82.5" x14ac:dyDescent="0.25">
      <c r="A28" s="95" t="s">
        <v>25</v>
      </c>
      <c r="B28" s="10" t="s">
        <v>40</v>
      </c>
      <c r="C28" s="10" t="s">
        <v>38</v>
      </c>
      <c r="D28" s="10" t="s">
        <v>73</v>
      </c>
      <c r="E28" s="10" t="s">
        <v>71</v>
      </c>
      <c r="F28" s="10" t="s">
        <v>39</v>
      </c>
      <c r="G28" s="112" t="s">
        <v>26</v>
      </c>
      <c r="H28" s="112" t="s">
        <v>27</v>
      </c>
      <c r="I28" s="112" t="s">
        <v>28</v>
      </c>
      <c r="J28" s="112" t="s">
        <v>29</v>
      </c>
      <c r="K28" s="112" t="s">
        <v>30</v>
      </c>
      <c r="L28" s="112" t="s">
        <v>31</v>
      </c>
      <c r="M28" s="112" t="s">
        <v>32</v>
      </c>
      <c r="N28" s="112" t="s">
        <v>33</v>
      </c>
      <c r="O28" s="112" t="s">
        <v>34</v>
      </c>
    </row>
    <row r="29" spans="1:15" x14ac:dyDescent="0.25">
      <c r="A29" s="11" t="s">
        <v>47</v>
      </c>
      <c r="B29" s="12">
        <v>0.26</v>
      </c>
      <c r="C29" s="13"/>
      <c r="D29" s="92">
        <v>2.57</v>
      </c>
      <c r="E29" s="90">
        <f>+B29*D29</f>
        <v>0.66820000000000002</v>
      </c>
      <c r="F29" s="87" t="s">
        <v>2</v>
      </c>
      <c r="G29" s="16">
        <f>(115*B29)/0.1</f>
        <v>299</v>
      </c>
      <c r="H29" s="14">
        <v>485</v>
      </c>
      <c r="I29" s="16">
        <v>0.3</v>
      </c>
      <c r="J29" s="17">
        <v>0</v>
      </c>
      <c r="K29" s="15">
        <v>16.7</v>
      </c>
      <c r="L29" s="17">
        <v>0.4</v>
      </c>
      <c r="M29" s="16">
        <v>4.4000000000000004</v>
      </c>
      <c r="N29" s="17">
        <v>9.1</v>
      </c>
      <c r="O29" s="17">
        <v>0.4</v>
      </c>
    </row>
    <row r="30" spans="1:15" ht="16.5" customHeight="1" x14ac:dyDescent="0.25">
      <c r="A30" s="18" t="s">
        <v>21</v>
      </c>
      <c r="B30" s="19">
        <v>0.01</v>
      </c>
      <c r="C30" s="20"/>
      <c r="D30" s="93">
        <v>3.39</v>
      </c>
      <c r="E30" s="91">
        <f t="shared" ref="E30:E35" si="0">+B30*D30</f>
        <v>3.39E-2</v>
      </c>
      <c r="F30" s="88" t="s">
        <v>2</v>
      </c>
      <c r="G30" s="7">
        <f>(899*B30)/0.1</f>
        <v>89.899999999999991</v>
      </c>
      <c r="H30" s="21">
        <f>3700*B30</f>
        <v>37</v>
      </c>
      <c r="I30" s="24">
        <f>99.9*B30</f>
        <v>0.99900000000000011</v>
      </c>
      <c r="J30" s="25">
        <f>14.4*B30</f>
        <v>0.14400000000000002</v>
      </c>
      <c r="K30" s="32">
        <v>0</v>
      </c>
      <c r="L30" s="25">
        <v>0</v>
      </c>
      <c r="M30" s="27">
        <v>0</v>
      </c>
      <c r="N30" s="25">
        <v>0</v>
      </c>
      <c r="O30" s="25">
        <v>0</v>
      </c>
    </row>
    <row r="31" spans="1:15" x14ac:dyDescent="0.25">
      <c r="A31" s="30" t="s">
        <v>19</v>
      </c>
      <c r="B31" s="31">
        <v>1</v>
      </c>
      <c r="C31" s="20"/>
      <c r="D31" s="93">
        <v>0.13</v>
      </c>
      <c r="E31" s="91">
        <f t="shared" si="0"/>
        <v>0.13</v>
      </c>
      <c r="F31" s="88" t="s">
        <v>2</v>
      </c>
      <c r="G31" s="7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8">
        <v>0</v>
      </c>
    </row>
    <row r="32" spans="1:15" x14ac:dyDescent="0.25">
      <c r="A32" s="18" t="s">
        <v>20</v>
      </c>
      <c r="B32" s="31">
        <v>0.02</v>
      </c>
      <c r="C32" s="20"/>
      <c r="D32" s="93">
        <v>0.35</v>
      </c>
      <c r="E32" s="91">
        <f t="shared" si="0"/>
        <v>6.9999999999999993E-3</v>
      </c>
      <c r="F32" s="88" t="s">
        <v>2</v>
      </c>
      <c r="G32" s="7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8">
        <v>0</v>
      </c>
      <c r="O32" s="28">
        <v>100</v>
      </c>
    </row>
    <row r="33" spans="1:18" x14ac:dyDescent="0.25">
      <c r="A33" s="18" t="s">
        <v>48</v>
      </c>
      <c r="B33" s="19">
        <v>0.08</v>
      </c>
      <c r="C33" s="20"/>
      <c r="D33" s="93">
        <v>0.99</v>
      </c>
      <c r="E33" s="91">
        <f t="shared" si="0"/>
        <v>7.9200000000000007E-2</v>
      </c>
      <c r="F33" s="88" t="s">
        <v>2</v>
      </c>
      <c r="G33" s="7">
        <f>(87*B33)/0.1</f>
        <v>69.599999999999994</v>
      </c>
      <c r="H33" s="21">
        <f>368*B33</f>
        <v>29.44</v>
      </c>
      <c r="I33" s="24">
        <v>0</v>
      </c>
      <c r="J33" s="25">
        <v>0</v>
      </c>
      <c r="K33" s="57">
        <f>18.5*B33</f>
        <v>1.48</v>
      </c>
      <c r="L33" s="26">
        <f>1.2*B33</f>
        <v>9.6000000000000002E-2</v>
      </c>
      <c r="M33" s="24">
        <f>1.6*B33</f>
        <v>0.128</v>
      </c>
      <c r="N33" s="26">
        <f>2.4*B33</f>
        <v>0.192</v>
      </c>
      <c r="O33" s="26">
        <f>0.3*B33</f>
        <v>2.4E-2</v>
      </c>
    </row>
    <row r="34" spans="1:18" x14ac:dyDescent="0.25">
      <c r="A34" s="18" t="s">
        <v>49</v>
      </c>
      <c r="B34" s="19">
        <v>0.1</v>
      </c>
      <c r="C34" s="20"/>
      <c r="D34" s="93">
        <v>0.99</v>
      </c>
      <c r="E34" s="91">
        <f t="shared" si="0"/>
        <v>9.9000000000000005E-2</v>
      </c>
      <c r="F34" s="88" t="s">
        <v>2</v>
      </c>
      <c r="G34" s="7">
        <f>(18*B34)/0.1</f>
        <v>18</v>
      </c>
      <c r="H34" s="21">
        <f>76*B34</f>
        <v>7.6000000000000005</v>
      </c>
      <c r="I34" s="24">
        <f>0.2*B34</f>
        <v>2.0000000000000004E-2</v>
      </c>
      <c r="J34" s="26">
        <v>0</v>
      </c>
      <c r="K34" s="57">
        <f>2.4*B34</f>
        <v>0.24</v>
      </c>
      <c r="L34" s="25">
        <f>1.7*B34</f>
        <v>0.17</v>
      </c>
      <c r="M34" s="24">
        <f>1.4*B34</f>
        <v>0.13999999999999999</v>
      </c>
      <c r="N34" s="25">
        <f>1*B34</f>
        <v>0.1</v>
      </c>
      <c r="O34" s="26">
        <f>0.3*B34</f>
        <v>0.03</v>
      </c>
    </row>
    <row r="35" spans="1:18" x14ac:dyDescent="0.25">
      <c r="A35" s="33" t="s">
        <v>50</v>
      </c>
      <c r="B35" s="34">
        <v>0.01</v>
      </c>
      <c r="C35" s="35"/>
      <c r="D35" s="94">
        <v>5.99</v>
      </c>
      <c r="E35" s="34">
        <f t="shared" si="0"/>
        <v>5.9900000000000002E-2</v>
      </c>
      <c r="F35" s="89" t="s">
        <v>2</v>
      </c>
      <c r="G35" s="66">
        <f>(72*B35)/0.1</f>
        <v>7.1999999999999993</v>
      </c>
      <c r="H35" s="36">
        <f>303*B35</f>
        <v>3.0300000000000002</v>
      </c>
      <c r="I35" s="37">
        <f>0.6*B35</f>
        <v>6.0000000000000001E-3</v>
      </c>
      <c r="J35" s="38">
        <f>0.1*B35</f>
        <v>1E-3</v>
      </c>
      <c r="K35" s="58">
        <f>11.3*B35</f>
        <v>0.113</v>
      </c>
      <c r="L35" s="38">
        <f>1.3*B35</f>
        <v>1.3000000000000001E-2</v>
      </c>
      <c r="M35" s="39">
        <f>3*B35</f>
        <v>0.03</v>
      </c>
      <c r="N35" s="38">
        <f>3.8*B35</f>
        <v>3.7999999999999999E-2</v>
      </c>
      <c r="O35" s="223">
        <f>0*B35</f>
        <v>0</v>
      </c>
    </row>
    <row r="36" spans="1:18" ht="17.25" thickBot="1" x14ac:dyDescent="0.3">
      <c r="A36" s="43"/>
      <c r="B36" s="20"/>
      <c r="C36" s="20"/>
      <c r="D36" s="44"/>
      <c r="E36" s="44"/>
      <c r="F36" s="43"/>
      <c r="G36" s="7"/>
      <c r="H36" s="7"/>
      <c r="I36" s="24"/>
      <c r="J36" s="27"/>
      <c r="K36" s="24"/>
      <c r="L36" s="24"/>
      <c r="M36" s="27"/>
      <c r="N36" s="24"/>
      <c r="O36" s="24"/>
    </row>
    <row r="37" spans="1:18" ht="35.25" customHeight="1" thickBot="1" x14ac:dyDescent="0.3">
      <c r="A37" s="158"/>
      <c r="B37" s="158"/>
      <c r="C37" s="43"/>
      <c r="D37" s="170" t="s">
        <v>41</v>
      </c>
      <c r="E37" s="171"/>
      <c r="F37" s="172"/>
      <c r="G37" s="45">
        <f t="shared" ref="G37:O37" si="1">SUM(G29:G35)</f>
        <v>483.7</v>
      </c>
      <c r="H37" s="45">
        <f t="shared" si="1"/>
        <v>562.07000000000005</v>
      </c>
      <c r="I37" s="45">
        <f t="shared" si="1"/>
        <v>1.3250000000000002</v>
      </c>
      <c r="J37" s="45">
        <f t="shared" si="1"/>
        <v>0.14500000000000002</v>
      </c>
      <c r="K37" s="45">
        <f t="shared" si="1"/>
        <v>18.532999999999998</v>
      </c>
      <c r="L37" s="45">
        <f t="shared" si="1"/>
        <v>0.67900000000000005</v>
      </c>
      <c r="M37" s="45">
        <f t="shared" si="1"/>
        <v>4.6980000000000004</v>
      </c>
      <c r="N37" s="45">
        <f t="shared" si="1"/>
        <v>9.43</v>
      </c>
      <c r="O37" s="222">
        <f t="shared" si="1"/>
        <v>100.45400000000001</v>
      </c>
    </row>
    <row r="38" spans="1:18" ht="15.75" customHeight="1" thickBot="1" x14ac:dyDescent="0.3">
      <c r="A38" s="159"/>
      <c r="B38" s="159"/>
      <c r="C38" s="43"/>
      <c r="D38" s="46"/>
      <c r="E38" s="46"/>
      <c r="F38" s="47"/>
      <c r="G38" s="2" t="s">
        <v>35</v>
      </c>
      <c r="H38" s="2" t="s">
        <v>36</v>
      </c>
      <c r="I38" s="2" t="s">
        <v>37</v>
      </c>
      <c r="J38" s="2" t="s">
        <v>37</v>
      </c>
      <c r="K38" s="2" t="s">
        <v>37</v>
      </c>
      <c r="L38" s="2" t="s">
        <v>37</v>
      </c>
      <c r="M38" s="2" t="s">
        <v>37</v>
      </c>
      <c r="N38" s="2" t="s">
        <v>37</v>
      </c>
      <c r="O38" s="2" t="s">
        <v>37</v>
      </c>
    </row>
    <row r="39" spans="1:18" ht="35.25" customHeight="1" thickBot="1" x14ac:dyDescent="0.3">
      <c r="A39" s="43"/>
      <c r="B39" s="43"/>
      <c r="C39" s="43"/>
      <c r="D39" s="170" t="s">
        <v>45</v>
      </c>
      <c r="E39" s="171"/>
      <c r="F39" s="171"/>
      <c r="G39" s="48">
        <f>+G37/2</f>
        <v>241.85</v>
      </c>
      <c r="H39" s="48">
        <f t="shared" ref="H39:O39" si="2">+H37/10</f>
        <v>56.207000000000008</v>
      </c>
      <c r="I39" s="48">
        <f t="shared" si="2"/>
        <v>0.13250000000000001</v>
      </c>
      <c r="J39" s="48">
        <f t="shared" si="2"/>
        <v>1.4500000000000002E-2</v>
      </c>
      <c r="K39" s="48">
        <f t="shared" si="2"/>
        <v>1.8532999999999997</v>
      </c>
      <c r="L39" s="48">
        <f t="shared" si="2"/>
        <v>6.7900000000000002E-2</v>
      </c>
      <c r="M39" s="48">
        <f t="shared" si="2"/>
        <v>0.46980000000000005</v>
      </c>
      <c r="N39" s="48">
        <f t="shared" si="2"/>
        <v>0.94299999999999995</v>
      </c>
      <c r="O39" s="48">
        <f t="shared" si="2"/>
        <v>10.045400000000001</v>
      </c>
    </row>
    <row r="40" spans="1:18" ht="45.75" customHeight="1" x14ac:dyDescent="0.25">
      <c r="A40" s="43"/>
      <c r="B40" s="43"/>
      <c r="C40" s="43"/>
      <c r="D40" s="65"/>
      <c r="E40" s="65"/>
      <c r="F40" s="65"/>
      <c r="G40" s="51"/>
      <c r="H40" s="51"/>
      <c r="I40" s="51"/>
      <c r="J40" s="51"/>
      <c r="K40" s="51"/>
      <c r="L40" s="51"/>
      <c r="M40" s="51"/>
      <c r="N40" s="51"/>
      <c r="O40" s="51"/>
    </row>
    <row r="41" spans="1:18" ht="17.2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8" ht="35.25" customHeight="1" thickBot="1" x14ac:dyDescent="0.3">
      <c r="A42" s="170" t="s">
        <v>6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2"/>
      <c r="M42" s="1"/>
      <c r="P42" s="49"/>
      <c r="Q42" s="49"/>
      <c r="R42" s="49"/>
    </row>
    <row r="43" spans="1:18" ht="27" customHeight="1" x14ac:dyDescent="0.25">
      <c r="A43" s="182" t="s">
        <v>79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4"/>
      <c r="M43" s="1"/>
      <c r="P43" s="50"/>
      <c r="Q43" s="64"/>
      <c r="R43" s="64"/>
    </row>
    <row r="44" spans="1:18" ht="17.25" thickBot="1" x14ac:dyDescent="0.3">
      <c r="A44" s="182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4"/>
      <c r="M44" s="1"/>
    </row>
    <row r="45" spans="1:18" ht="26.25" customHeight="1" thickBot="1" x14ac:dyDescent="0.3">
      <c r="A45" s="185" t="s">
        <v>7</v>
      </c>
      <c r="B45" s="186"/>
      <c r="C45" s="185"/>
      <c r="D45" s="187"/>
      <c r="E45" s="186"/>
      <c r="F45" s="185" t="s">
        <v>24</v>
      </c>
      <c r="G45" s="186"/>
      <c r="H45" s="185"/>
      <c r="I45" s="187"/>
      <c r="J45" s="187"/>
      <c r="K45" s="187"/>
      <c r="L45" s="186"/>
      <c r="M45" s="1"/>
    </row>
    <row r="46" spans="1:18" ht="17.25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8" ht="13.5" customHeight="1" thickTop="1" x14ac:dyDescent="0.25">
      <c r="A47" s="1"/>
      <c r="B47" s="1"/>
      <c r="C47" s="1"/>
      <c r="D47" s="1"/>
      <c r="E47" s="1"/>
      <c r="F47" s="1"/>
      <c r="G47" s="173" t="s">
        <v>8</v>
      </c>
      <c r="H47" s="176" t="s">
        <v>9</v>
      </c>
      <c r="I47" s="177"/>
      <c r="J47" s="178"/>
      <c r="K47" s="59">
        <f>SUM(E29:E35)</f>
        <v>1.0772000000000002</v>
      </c>
      <c r="L47" s="1"/>
      <c r="M47" s="1"/>
    </row>
    <row r="48" spans="1:18" x14ac:dyDescent="0.25">
      <c r="A48" s="1"/>
      <c r="B48" s="1"/>
      <c r="C48" s="1"/>
      <c r="D48" s="1"/>
      <c r="E48" s="1"/>
      <c r="F48" s="1"/>
      <c r="G48" s="174"/>
      <c r="H48" s="188" t="s">
        <v>10</v>
      </c>
      <c r="I48" s="189"/>
      <c r="J48" s="190"/>
      <c r="K48" s="60">
        <v>0.25</v>
      </c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74"/>
      <c r="H49" s="188" t="s">
        <v>11</v>
      </c>
      <c r="I49" s="189"/>
      <c r="J49" s="190"/>
      <c r="K49" s="61">
        <f>1/K48</f>
        <v>4</v>
      </c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74"/>
      <c r="H50" s="188" t="s">
        <v>12</v>
      </c>
      <c r="I50" s="189"/>
      <c r="J50" s="190"/>
      <c r="K50" s="62">
        <f>K47*K49</f>
        <v>4.3088000000000006</v>
      </c>
      <c r="L50" s="52"/>
      <c r="M50" s="1"/>
    </row>
    <row r="51" spans="1:13" x14ac:dyDescent="0.25">
      <c r="A51" s="1"/>
      <c r="B51" s="1"/>
      <c r="C51" s="1"/>
      <c r="D51" s="1"/>
      <c r="E51" s="1"/>
      <c r="F51" s="1"/>
      <c r="G51" s="174"/>
      <c r="H51" s="188" t="s">
        <v>13</v>
      </c>
      <c r="I51" s="189"/>
      <c r="J51" s="190"/>
      <c r="K51" s="62">
        <f>K50-K47</f>
        <v>3.2316000000000003</v>
      </c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74"/>
      <c r="H52" s="188" t="s">
        <v>14</v>
      </c>
      <c r="I52" s="189"/>
      <c r="J52" s="190"/>
      <c r="K52" s="60">
        <v>0.13</v>
      </c>
      <c r="L52" s="1"/>
      <c r="M52" s="1"/>
    </row>
    <row r="53" spans="1:13" ht="17.25" thickBot="1" x14ac:dyDescent="0.3">
      <c r="A53" s="1"/>
      <c r="B53" s="1"/>
      <c r="C53" s="1"/>
      <c r="D53" s="1"/>
      <c r="E53" s="1"/>
      <c r="F53" s="1"/>
      <c r="G53" s="175"/>
      <c r="H53" s="179" t="s">
        <v>80</v>
      </c>
      <c r="I53" s="180"/>
      <c r="J53" s="181"/>
      <c r="K53" s="63">
        <f>K50*(1+K52)/2</f>
        <v>2.434472</v>
      </c>
      <c r="L53" s="1"/>
      <c r="M53" s="1"/>
    </row>
    <row r="54" spans="1:13" ht="17.25" thickTop="1" x14ac:dyDescent="0.25">
      <c r="A54" s="1"/>
      <c r="B54" s="1"/>
      <c r="C54" s="1"/>
      <c r="D54" s="1"/>
      <c r="E54" s="1"/>
      <c r="F54" s="1"/>
      <c r="G54" s="53"/>
      <c r="H54" s="140"/>
      <c r="I54" s="140"/>
      <c r="J54" s="140"/>
      <c r="K54" s="77"/>
      <c r="L54" s="1"/>
      <c r="M54" s="1"/>
    </row>
    <row r="55" spans="1:13" x14ac:dyDescent="0.25">
      <c r="A55" s="1"/>
      <c r="B55" s="198"/>
      <c r="C55" s="199"/>
      <c r="D55" s="1"/>
      <c r="E55" s="1"/>
      <c r="F55" s="8"/>
      <c r="G55" s="197"/>
      <c r="H55" s="140"/>
      <c r="I55" s="140"/>
      <c r="J55" s="140"/>
      <c r="K55" s="77"/>
      <c r="L55" s="8"/>
      <c r="M55" s="1"/>
    </row>
    <row r="56" spans="1:13" x14ac:dyDescent="0.25">
      <c r="A56" s="1"/>
      <c r="B56" s="200" t="s">
        <v>16</v>
      </c>
      <c r="C56" s="200"/>
      <c r="D56" s="1"/>
      <c r="E56" s="1"/>
      <c r="F56" s="83" t="s">
        <v>17</v>
      </c>
      <c r="G56" s="197"/>
      <c r="H56" s="140"/>
      <c r="I56" s="140"/>
      <c r="J56" s="140"/>
      <c r="K56" s="77"/>
      <c r="L56" s="8"/>
      <c r="M56" s="1"/>
    </row>
    <row r="57" spans="1:13" x14ac:dyDescent="0.25">
      <c r="A57" s="1"/>
      <c r="B57" s="201"/>
      <c r="C57" s="201"/>
      <c r="D57" s="1"/>
      <c r="E57" s="1"/>
      <c r="F57" s="8"/>
      <c r="G57" s="197"/>
      <c r="H57" s="140"/>
      <c r="I57" s="140"/>
      <c r="J57" s="140"/>
      <c r="K57" s="76"/>
      <c r="L57" s="8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91" t="s">
        <v>52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3"/>
      <c r="M59" s="1"/>
    </row>
    <row r="60" spans="1:13" ht="62.25" customHeight="1" x14ac:dyDescent="0.25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6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mergeCells count="40">
    <mergeCell ref="D39:F39"/>
    <mergeCell ref="F27:O27"/>
    <mergeCell ref="A59:L60"/>
    <mergeCell ref="G55:G57"/>
    <mergeCell ref="B55:C55"/>
    <mergeCell ref="H55:J55"/>
    <mergeCell ref="B56:C57"/>
    <mergeCell ref="H56:J56"/>
    <mergeCell ref="H57:J57"/>
    <mergeCell ref="D37:F37"/>
    <mergeCell ref="G47:G53"/>
    <mergeCell ref="H47:J47"/>
    <mergeCell ref="H53:J53"/>
    <mergeCell ref="A42:L42"/>
    <mergeCell ref="A43:L44"/>
    <mergeCell ref="A45:B45"/>
    <mergeCell ref="C45:E45"/>
    <mergeCell ref="F45:G45"/>
    <mergeCell ref="H45:L45"/>
    <mergeCell ref="H48:J48"/>
    <mergeCell ref="H49:J49"/>
    <mergeCell ref="H50:J50"/>
    <mergeCell ref="H51:J51"/>
    <mergeCell ref="H52:J52"/>
    <mergeCell ref="H54:J54"/>
    <mergeCell ref="C10:E10"/>
    <mergeCell ref="I10:L10"/>
    <mergeCell ref="A12:L12"/>
    <mergeCell ref="A1:L4"/>
    <mergeCell ref="C6:E6"/>
    <mergeCell ref="F6:H6"/>
    <mergeCell ref="I6:L6"/>
    <mergeCell ref="F8:H8"/>
    <mergeCell ref="I8:L8"/>
    <mergeCell ref="G10:H10"/>
    <mergeCell ref="A37:B37"/>
    <mergeCell ref="A38:B38"/>
    <mergeCell ref="A14:L25"/>
    <mergeCell ref="A27:B27"/>
    <mergeCell ref="D27:E27"/>
  </mergeCells>
  <conditionalFormatting sqref="C28 F29:F36">
    <cfRule type="cellIs" dxfId="4" priority="3" stopIfTrue="1" operator="equal">
      <formula>"Sim"</formula>
    </cfRule>
  </conditionalFormatting>
  <dataValidations count="1">
    <dataValidation type="list" showInputMessage="1" showErrorMessage="1" sqref="C28 F29:F36" xr:uid="{09C52ED1-3D22-4717-B095-547EC203C9D8}">
      <formula1>$M$2:$M$4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276B6-6DBB-4EAE-B5D7-093C4B405FFC}">
  <dimension ref="A1:AQ61"/>
  <sheetViews>
    <sheetView topLeftCell="A29" zoomScale="80" zoomScaleNormal="80" workbookViewId="0">
      <selection activeCell="R27" sqref="R27"/>
    </sheetView>
  </sheetViews>
  <sheetFormatPr defaultRowHeight="16.5" x14ac:dyDescent="0.25"/>
  <cols>
    <col min="1" max="1" width="20.28515625" style="2" customWidth="1"/>
    <col min="2" max="2" width="13.42578125" style="2" customWidth="1"/>
    <col min="3" max="3" width="8.85546875" style="2" customWidth="1"/>
    <col min="4" max="4" width="9.7109375" style="2" customWidth="1"/>
    <col min="5" max="5" width="11.85546875" style="2" customWidth="1"/>
    <col min="6" max="6" width="11.5703125" style="2" customWidth="1"/>
    <col min="7" max="7" width="12" style="2" customWidth="1"/>
    <col min="8" max="8" width="13.28515625" style="2" customWidth="1"/>
    <col min="9" max="10" width="9.140625" style="2"/>
    <col min="11" max="11" width="11" style="2" customWidth="1"/>
    <col min="12" max="12" width="8.85546875" style="2" customWidth="1"/>
    <col min="13" max="13" width="8.28515625" style="2" customWidth="1"/>
    <col min="14" max="14" width="10.140625" style="2" customWidth="1"/>
    <col min="15" max="15" width="8.7109375" style="2" customWidth="1"/>
    <col min="16" max="16384" width="9.140625" style="2"/>
  </cols>
  <sheetData>
    <row r="1" spans="1:15" x14ac:dyDescent="0.2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  <c r="M1" s="1"/>
    </row>
    <row r="2" spans="1:15" x14ac:dyDescent="0.25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3"/>
      <c r="M2" s="3" t="s">
        <v>1</v>
      </c>
    </row>
    <row r="3" spans="1:15" x14ac:dyDescent="0.2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3"/>
      <c r="M3" s="3" t="s">
        <v>2</v>
      </c>
    </row>
    <row r="4" spans="1:15" x14ac:dyDescent="0.25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6"/>
      <c r="M4" s="3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/>
      <c r="M5" s="3"/>
    </row>
    <row r="6" spans="1:15" x14ac:dyDescent="0.25">
      <c r="A6" s="1"/>
      <c r="B6" s="5"/>
      <c r="C6" s="141"/>
      <c r="D6" s="141"/>
      <c r="E6" s="141"/>
      <c r="F6" s="141" t="s">
        <v>3</v>
      </c>
      <c r="G6" s="141"/>
      <c r="H6" s="157"/>
      <c r="I6" s="142" t="s">
        <v>57</v>
      </c>
      <c r="J6" s="143"/>
      <c r="K6" s="143"/>
      <c r="L6" s="144"/>
      <c r="M6" s="3"/>
    </row>
    <row r="7" spans="1:15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3"/>
    </row>
    <row r="8" spans="1:15" x14ac:dyDescent="0.25">
      <c r="A8" s="1"/>
      <c r="B8" s="5"/>
      <c r="C8" s="5"/>
      <c r="D8" s="5"/>
      <c r="E8" s="5"/>
      <c r="F8" s="141" t="s">
        <v>4</v>
      </c>
      <c r="G8" s="141"/>
      <c r="H8" s="157"/>
      <c r="I8" s="142" t="s">
        <v>42</v>
      </c>
      <c r="J8" s="143"/>
      <c r="K8" s="143"/>
      <c r="L8" s="144"/>
      <c r="M8" s="3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6"/>
      <c r="N9" s="7"/>
      <c r="O9" s="7"/>
    </row>
    <row r="10" spans="1:15" x14ac:dyDescent="0.25">
      <c r="A10" s="1"/>
      <c r="B10" s="5"/>
      <c r="C10" s="141"/>
      <c r="D10" s="141"/>
      <c r="E10" s="141"/>
      <c r="F10" s="1"/>
      <c r="G10" s="141" t="s">
        <v>5</v>
      </c>
      <c r="H10" s="157"/>
      <c r="I10" s="142">
        <v>2</v>
      </c>
      <c r="J10" s="143"/>
      <c r="K10" s="143"/>
      <c r="L10" s="144"/>
      <c r="M10" s="8"/>
      <c r="N10" s="7"/>
      <c r="O10" s="7"/>
    </row>
    <row r="11" spans="1:15" ht="17.2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8"/>
      <c r="N11" s="7"/>
      <c r="O11" s="7"/>
    </row>
    <row r="12" spans="1:15" ht="25.5" customHeight="1" thickBot="1" x14ac:dyDescent="0.3">
      <c r="A12" s="145" t="s">
        <v>56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7"/>
      <c r="M12" s="8"/>
      <c r="N12" s="7"/>
      <c r="O12" s="7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8"/>
      <c r="N13" s="7"/>
      <c r="O13" s="7"/>
    </row>
    <row r="14" spans="1:15" x14ac:dyDescent="0.25">
      <c r="A14" s="160" t="s">
        <v>55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2"/>
      <c r="M14" s="8"/>
      <c r="N14" s="7"/>
      <c r="O14" s="7"/>
    </row>
    <row r="15" spans="1:15" x14ac:dyDescent="0.25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5"/>
      <c r="M15" s="8"/>
      <c r="N15" s="7"/>
      <c r="O15" s="7"/>
    </row>
    <row r="16" spans="1:15" x14ac:dyDescent="0.25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5"/>
      <c r="M16" s="8"/>
      <c r="N16" s="7"/>
      <c r="O16" s="7"/>
    </row>
    <row r="17" spans="1:15" x14ac:dyDescent="0.25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5"/>
      <c r="M17" s="8"/>
      <c r="N17" s="7"/>
      <c r="O17" s="7"/>
    </row>
    <row r="18" spans="1:15" x14ac:dyDescent="0.25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5"/>
      <c r="M18" s="8"/>
      <c r="N18" s="7"/>
      <c r="O18" s="7"/>
    </row>
    <row r="19" spans="1:15" x14ac:dyDescent="0.25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5"/>
      <c r="M19" s="8"/>
      <c r="N19" s="7"/>
      <c r="O19" s="7"/>
    </row>
    <row r="20" spans="1:15" x14ac:dyDescent="0.25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5"/>
      <c r="M20" s="8"/>
      <c r="N20" s="7"/>
      <c r="O20" s="7"/>
    </row>
    <row r="21" spans="1:15" x14ac:dyDescent="0.25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5"/>
      <c r="M21" s="8"/>
      <c r="N21" s="7"/>
      <c r="O21" s="7"/>
    </row>
    <row r="22" spans="1:15" x14ac:dyDescent="0.25">
      <c r="A22" s="163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5"/>
      <c r="M22" s="8"/>
      <c r="N22" s="7"/>
      <c r="O22" s="7"/>
    </row>
    <row r="23" spans="1:15" x14ac:dyDescent="0.25">
      <c r="A23" s="163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5"/>
      <c r="M23" s="8"/>
      <c r="N23" s="7"/>
      <c r="O23" s="7"/>
    </row>
    <row r="24" spans="1:15" x14ac:dyDescent="0.25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5"/>
      <c r="M24" s="8"/>
      <c r="N24" s="7"/>
      <c r="O24" s="7"/>
    </row>
    <row r="25" spans="1:15" x14ac:dyDescent="0.25">
      <c r="A25" s="16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8"/>
      <c r="M25" s="8"/>
      <c r="N25" s="7"/>
      <c r="O25" s="7"/>
    </row>
    <row r="26" spans="1:1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1"/>
      <c r="M26" s="8"/>
      <c r="N26" s="7"/>
      <c r="O26" s="7"/>
    </row>
    <row r="27" spans="1:15" ht="36.75" customHeight="1" x14ac:dyDescent="0.25">
      <c r="A27" s="169"/>
      <c r="B27" s="169"/>
      <c r="C27" s="9"/>
      <c r="D27" s="169"/>
      <c r="E27" s="169"/>
      <c r="F27" s="142" t="s">
        <v>43</v>
      </c>
      <c r="G27" s="143"/>
      <c r="H27" s="143"/>
      <c r="I27" s="143"/>
      <c r="J27" s="143"/>
      <c r="K27" s="143"/>
      <c r="L27" s="143"/>
      <c r="M27" s="143"/>
      <c r="N27" s="143"/>
      <c r="O27" s="144"/>
    </row>
    <row r="28" spans="1:15" ht="82.5" x14ac:dyDescent="0.25">
      <c r="A28" s="95" t="s">
        <v>25</v>
      </c>
      <c r="B28" s="10" t="s">
        <v>40</v>
      </c>
      <c r="C28" s="10" t="s">
        <v>38</v>
      </c>
      <c r="D28" s="10" t="s">
        <v>73</v>
      </c>
      <c r="E28" s="10" t="s">
        <v>75</v>
      </c>
      <c r="F28" s="10" t="s">
        <v>39</v>
      </c>
      <c r="G28" s="112" t="s">
        <v>26</v>
      </c>
      <c r="H28" s="112" t="s">
        <v>27</v>
      </c>
      <c r="I28" s="112" t="s">
        <v>28</v>
      </c>
      <c r="J28" s="112" t="s">
        <v>29</v>
      </c>
      <c r="K28" s="112" t="s">
        <v>30</v>
      </c>
      <c r="L28" s="112" t="s">
        <v>31</v>
      </c>
      <c r="M28" s="112" t="s">
        <v>32</v>
      </c>
      <c r="N28" s="112" t="s">
        <v>33</v>
      </c>
      <c r="O28" s="112" t="s">
        <v>34</v>
      </c>
    </row>
    <row r="29" spans="1:15" x14ac:dyDescent="0.25">
      <c r="A29" s="11" t="s">
        <v>58</v>
      </c>
      <c r="B29" s="67">
        <v>0.26</v>
      </c>
      <c r="C29" s="12" t="s">
        <v>22</v>
      </c>
      <c r="D29" s="84">
        <v>2.2000000000000002</v>
      </c>
      <c r="E29" s="90">
        <f>+B29*D29</f>
        <v>0.57200000000000006</v>
      </c>
      <c r="F29" s="101" t="s">
        <v>1</v>
      </c>
      <c r="G29" s="17">
        <f>(192*B29)/0.1</f>
        <v>499.2</v>
      </c>
      <c r="H29" s="107">
        <f>800*B29</f>
        <v>208</v>
      </c>
      <c r="I29" s="17">
        <f>12.2*B29</f>
        <v>3.1719999999999997</v>
      </c>
      <c r="J29" s="16">
        <f>3.2*B29</f>
        <v>0.83200000000000007</v>
      </c>
      <c r="K29" s="17">
        <f>0*B29</f>
        <v>0</v>
      </c>
      <c r="L29" s="16">
        <v>0</v>
      </c>
      <c r="M29" s="17" t="s">
        <v>51</v>
      </c>
      <c r="N29" s="16">
        <v>20.5</v>
      </c>
      <c r="O29" s="17">
        <v>0.8</v>
      </c>
    </row>
    <row r="30" spans="1:15" ht="16.5" customHeight="1" x14ac:dyDescent="0.25">
      <c r="A30" s="18" t="s">
        <v>59</v>
      </c>
      <c r="B30" s="68">
        <v>0.05</v>
      </c>
      <c r="C30" s="19" t="s">
        <v>22</v>
      </c>
      <c r="D30" s="85">
        <v>1.04</v>
      </c>
      <c r="E30" s="91">
        <f t="shared" ref="E30:E34" si="0">+B30*D30</f>
        <v>5.2000000000000005E-2</v>
      </c>
      <c r="F30" s="43" t="s">
        <v>2</v>
      </c>
      <c r="G30" s="28">
        <f>192*B30</f>
        <v>9.6000000000000014</v>
      </c>
      <c r="H30" s="104">
        <f t="shared" ref="H30:H33" si="1">800*B30</f>
        <v>40</v>
      </c>
      <c r="I30" s="28">
        <f>12.2*B30</f>
        <v>0.61</v>
      </c>
      <c r="J30" s="7">
        <f t="shared" ref="J30:J33" si="2">3.2*B30</f>
        <v>0.16000000000000003</v>
      </c>
      <c r="K30" s="25">
        <f>75.3*B30</f>
        <v>3.7650000000000001</v>
      </c>
      <c r="L30" s="27" t="s">
        <v>51</v>
      </c>
      <c r="M30" s="25">
        <v>2.6</v>
      </c>
      <c r="N30" s="27">
        <v>8.3000000000000007</v>
      </c>
      <c r="O30" s="25">
        <v>0</v>
      </c>
    </row>
    <row r="31" spans="1:15" x14ac:dyDescent="0.25">
      <c r="A31" s="30" t="s">
        <v>20</v>
      </c>
      <c r="B31" s="30">
        <v>0.01</v>
      </c>
      <c r="C31" s="19" t="s">
        <v>22</v>
      </c>
      <c r="D31" s="85">
        <v>0.35</v>
      </c>
      <c r="E31" s="91">
        <f t="shared" si="0"/>
        <v>3.4999999999999996E-3</v>
      </c>
      <c r="F31" s="43" t="s">
        <v>2</v>
      </c>
      <c r="G31" s="28">
        <f t="shared" ref="G31" si="3">192*B31</f>
        <v>1.92</v>
      </c>
      <c r="H31" s="104">
        <f t="shared" si="1"/>
        <v>8</v>
      </c>
      <c r="I31" s="28">
        <f t="shared" ref="I31" si="4">12.2*B31</f>
        <v>0.122</v>
      </c>
      <c r="J31" s="7">
        <f t="shared" si="2"/>
        <v>3.2000000000000001E-2</v>
      </c>
      <c r="K31" s="28">
        <v>0</v>
      </c>
      <c r="L31" s="7">
        <v>0</v>
      </c>
      <c r="M31" s="28">
        <v>0</v>
      </c>
      <c r="N31" s="7">
        <v>0</v>
      </c>
      <c r="O31" s="28">
        <f>100*B31</f>
        <v>1</v>
      </c>
    </row>
    <row r="32" spans="1:15" x14ac:dyDescent="0.25">
      <c r="A32" s="18" t="s">
        <v>46</v>
      </c>
      <c r="B32" s="30">
        <v>0.25</v>
      </c>
      <c r="C32" s="19" t="s">
        <v>22</v>
      </c>
      <c r="D32" s="85">
        <v>1.29</v>
      </c>
      <c r="E32" s="91">
        <f t="shared" si="0"/>
        <v>0.32250000000000001</v>
      </c>
      <c r="F32" s="43" t="s">
        <v>2</v>
      </c>
      <c r="G32" s="28">
        <f>(123*B32)/0.1</f>
        <v>307.5</v>
      </c>
      <c r="H32" s="104">
        <f>522*B32</f>
        <v>130.5</v>
      </c>
      <c r="I32" s="28">
        <v>0</v>
      </c>
      <c r="J32" s="7">
        <f>3.2*B32</f>
        <v>0.8</v>
      </c>
      <c r="K32" s="28">
        <f>28.3*B32</f>
        <v>7.0750000000000002</v>
      </c>
      <c r="L32" s="7">
        <f>1.9*B32</f>
        <v>0.47499999999999998</v>
      </c>
      <c r="M32" s="28">
        <f>3*B32</f>
        <v>0.75</v>
      </c>
      <c r="N32" s="7">
        <f>1*B32</f>
        <v>0.25</v>
      </c>
      <c r="O32" s="28">
        <f>0.1*B32</f>
        <v>2.5000000000000001E-2</v>
      </c>
    </row>
    <row r="33" spans="1:43" x14ac:dyDescent="0.25">
      <c r="A33" s="18" t="s">
        <v>21</v>
      </c>
      <c r="B33" s="68">
        <v>0.01</v>
      </c>
      <c r="C33" s="19" t="s">
        <v>23</v>
      </c>
      <c r="D33" s="85">
        <v>3.49</v>
      </c>
      <c r="E33" s="91">
        <f t="shared" si="0"/>
        <v>3.49E-2</v>
      </c>
      <c r="F33" s="43" t="s">
        <v>2</v>
      </c>
      <c r="G33" s="28">
        <f>(192*B33)/0.1</f>
        <v>19.2</v>
      </c>
      <c r="H33" s="104">
        <f t="shared" si="1"/>
        <v>8</v>
      </c>
      <c r="I33" s="28">
        <f>12.2*B33</f>
        <v>0.122</v>
      </c>
      <c r="J33" s="7">
        <f t="shared" si="2"/>
        <v>3.2000000000000001E-2</v>
      </c>
      <c r="K33" s="25">
        <v>0</v>
      </c>
      <c r="L33" s="27">
        <v>0</v>
      </c>
      <c r="M33" s="25">
        <v>0</v>
      </c>
      <c r="N33" s="27">
        <v>0</v>
      </c>
      <c r="O33" s="25">
        <v>0</v>
      </c>
      <c r="P33" s="27"/>
      <c r="Q33" s="24"/>
      <c r="R33" s="24"/>
      <c r="S33" s="24"/>
      <c r="T33" s="24"/>
      <c r="U33" s="24"/>
      <c r="V33" s="24"/>
      <c r="W33" s="27"/>
      <c r="X33" s="27"/>
      <c r="Y33" s="27"/>
      <c r="Z33" s="27"/>
      <c r="AA33" s="27"/>
      <c r="AB33" s="24"/>
      <c r="AC33" s="24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x14ac:dyDescent="0.25">
      <c r="A34" s="70" t="s">
        <v>60</v>
      </c>
      <c r="B34" s="71">
        <v>2.5000000000000001E-2</v>
      </c>
      <c r="C34" s="69" t="s">
        <v>22</v>
      </c>
      <c r="D34" s="86">
        <v>2.69</v>
      </c>
      <c r="E34" s="34">
        <f t="shared" si="0"/>
        <v>6.7250000000000004E-2</v>
      </c>
      <c r="F34" s="102" t="s">
        <v>2</v>
      </c>
      <c r="G34" s="41">
        <f>(19*B34)/0.1</f>
        <v>4.75</v>
      </c>
      <c r="H34" s="108">
        <f>80*B34</f>
        <v>2</v>
      </c>
      <c r="I34" s="41">
        <f>0.3*B34</f>
        <v>7.4999999999999997E-3</v>
      </c>
      <c r="J34" s="42">
        <f>3.2*B34</f>
        <v>8.0000000000000016E-2</v>
      </c>
      <c r="K34" s="73">
        <f>2*B34</f>
        <v>0.05</v>
      </c>
      <c r="L34" s="75">
        <f>1.9*B34</f>
        <v>4.7500000000000001E-2</v>
      </c>
      <c r="M34" s="73">
        <f>1*B34</f>
        <v>2.5000000000000001E-2</v>
      </c>
      <c r="N34" s="75">
        <f>1.6*B34</f>
        <v>4.0000000000000008E-2</v>
      </c>
      <c r="O34" s="73">
        <v>0</v>
      </c>
    </row>
    <row r="35" spans="1:43" ht="17.25" thickBot="1" x14ac:dyDescent="0.3">
      <c r="A35" s="110"/>
      <c r="B35" s="20"/>
      <c r="C35" s="20"/>
      <c r="D35" s="96"/>
      <c r="E35" s="22"/>
      <c r="F35" s="110"/>
      <c r="G35" s="7"/>
      <c r="H35" s="111"/>
      <c r="I35" s="7"/>
      <c r="J35" s="29"/>
      <c r="K35" s="7"/>
      <c r="L35" s="29"/>
      <c r="M35" s="7"/>
      <c r="N35" s="29"/>
      <c r="O35" s="7"/>
    </row>
    <row r="36" spans="1:43" ht="35.25" customHeight="1" thickBot="1" x14ac:dyDescent="0.3">
      <c r="A36" s="158"/>
      <c r="B36" s="158"/>
      <c r="C36" s="43"/>
      <c r="D36" s="170" t="s">
        <v>41</v>
      </c>
      <c r="E36" s="171"/>
      <c r="F36" s="172"/>
      <c r="G36" s="45">
        <f t="shared" ref="G36:O36" si="5">SUM(G29:G34)</f>
        <v>842.17000000000007</v>
      </c>
      <c r="H36" s="45">
        <f t="shared" si="5"/>
        <v>396.5</v>
      </c>
      <c r="I36" s="45">
        <f t="shared" si="5"/>
        <v>4.0335000000000001</v>
      </c>
      <c r="J36" s="45">
        <f t="shared" si="5"/>
        <v>1.9360000000000002</v>
      </c>
      <c r="K36" s="45">
        <f t="shared" si="5"/>
        <v>10.89</v>
      </c>
      <c r="L36" s="45">
        <f t="shared" si="5"/>
        <v>0.52249999999999996</v>
      </c>
      <c r="M36" s="45">
        <f t="shared" si="5"/>
        <v>3.375</v>
      </c>
      <c r="N36" s="45">
        <f t="shared" si="5"/>
        <v>29.09</v>
      </c>
      <c r="O36" s="222">
        <f t="shared" si="5"/>
        <v>1.825</v>
      </c>
    </row>
    <row r="37" spans="1:43" ht="15.75" customHeight="1" thickBot="1" x14ac:dyDescent="0.3">
      <c r="A37" s="159"/>
      <c r="B37" s="159"/>
      <c r="C37" s="43"/>
      <c r="D37" s="46"/>
      <c r="E37" s="46"/>
      <c r="F37" s="47"/>
      <c r="G37" s="2" t="s">
        <v>35</v>
      </c>
      <c r="H37" s="2" t="s">
        <v>36</v>
      </c>
      <c r="I37" s="2" t="s">
        <v>37</v>
      </c>
      <c r="J37" s="2" t="s">
        <v>37</v>
      </c>
      <c r="K37" s="2" t="s">
        <v>37</v>
      </c>
      <c r="L37" s="2" t="s">
        <v>37</v>
      </c>
      <c r="M37" s="2" t="s">
        <v>37</v>
      </c>
      <c r="N37" s="2" t="s">
        <v>37</v>
      </c>
      <c r="O37" s="2" t="s">
        <v>37</v>
      </c>
    </row>
    <row r="38" spans="1:43" ht="45.75" customHeight="1" thickBot="1" x14ac:dyDescent="0.3">
      <c r="A38" s="43"/>
      <c r="B38" s="43"/>
      <c r="C38" s="43"/>
      <c r="D38" s="170" t="s">
        <v>45</v>
      </c>
      <c r="E38" s="171"/>
      <c r="F38" s="171"/>
      <c r="G38" s="48">
        <f>+G36/2</f>
        <v>421.08500000000004</v>
      </c>
      <c r="H38" s="48">
        <f t="shared" ref="H38:O38" si="6">+H36/2</f>
        <v>198.25</v>
      </c>
      <c r="I38" s="48">
        <f t="shared" si="6"/>
        <v>2.01675</v>
      </c>
      <c r="J38" s="48">
        <f t="shared" si="6"/>
        <v>0.96800000000000008</v>
      </c>
      <c r="K38" s="48">
        <f t="shared" si="6"/>
        <v>5.4450000000000003</v>
      </c>
      <c r="L38" s="48">
        <f t="shared" si="6"/>
        <v>0.26124999999999998</v>
      </c>
      <c r="M38" s="48">
        <f t="shared" si="6"/>
        <v>1.6875</v>
      </c>
      <c r="N38" s="48">
        <f t="shared" si="6"/>
        <v>14.545</v>
      </c>
      <c r="O38" s="48">
        <f t="shared" si="6"/>
        <v>0.91249999999999998</v>
      </c>
    </row>
    <row r="39" spans="1:43" ht="15.75" customHeight="1" x14ac:dyDescent="0.25">
      <c r="A39" s="43"/>
      <c r="B39" s="43"/>
      <c r="C39" s="43"/>
      <c r="D39" s="46"/>
      <c r="E39" s="46"/>
      <c r="F39" s="47"/>
    </row>
    <row r="40" spans="1:43" ht="17.2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43" ht="35.25" customHeight="1" thickBot="1" x14ac:dyDescent="0.3">
      <c r="A41" s="170" t="s">
        <v>6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2"/>
      <c r="M41" s="1"/>
    </row>
    <row r="42" spans="1:43" ht="27" customHeight="1" x14ac:dyDescent="0.25">
      <c r="A42" s="182" t="s">
        <v>78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4"/>
      <c r="M42" s="1"/>
    </row>
    <row r="43" spans="1:43" ht="17.25" thickBot="1" x14ac:dyDescent="0.3">
      <c r="A43" s="182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4"/>
      <c r="M43" s="1"/>
    </row>
    <row r="44" spans="1:43" ht="26.25" customHeight="1" thickBot="1" x14ac:dyDescent="0.3">
      <c r="A44" s="185" t="s">
        <v>7</v>
      </c>
      <c r="B44" s="186"/>
      <c r="C44" s="185"/>
      <c r="D44" s="187"/>
      <c r="E44" s="186"/>
      <c r="F44" s="185" t="s">
        <v>24</v>
      </c>
      <c r="G44" s="186"/>
      <c r="H44" s="185"/>
      <c r="I44" s="187"/>
      <c r="J44" s="187"/>
      <c r="K44" s="187"/>
      <c r="L44" s="186"/>
      <c r="M44" s="1"/>
    </row>
    <row r="45" spans="1:43" ht="17.2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43" ht="13.5" customHeight="1" x14ac:dyDescent="0.25">
      <c r="A46" s="1"/>
      <c r="B46" s="1"/>
      <c r="C46" s="1"/>
      <c r="D46" s="1"/>
      <c r="E46" s="1"/>
      <c r="F46" s="1"/>
      <c r="G46" s="202" t="s">
        <v>8</v>
      </c>
      <c r="H46" s="205" t="s">
        <v>9</v>
      </c>
      <c r="I46" s="206"/>
      <c r="J46" s="207"/>
      <c r="K46" s="78">
        <f>SUM(E29:E34)</f>
        <v>1.0521500000000001</v>
      </c>
      <c r="L46" s="1"/>
      <c r="M46" s="1"/>
    </row>
    <row r="47" spans="1:43" x14ac:dyDescent="0.25">
      <c r="A47" s="1"/>
      <c r="B47" s="1"/>
      <c r="C47" s="1"/>
      <c r="D47" s="1"/>
      <c r="E47" s="1"/>
      <c r="F47" s="1"/>
      <c r="G47" s="203"/>
      <c r="H47" s="188" t="s">
        <v>10</v>
      </c>
      <c r="I47" s="189"/>
      <c r="J47" s="190"/>
      <c r="K47" s="79">
        <v>0.25</v>
      </c>
      <c r="L47" s="1"/>
      <c r="M47" s="1"/>
    </row>
    <row r="48" spans="1:43" x14ac:dyDescent="0.25">
      <c r="A48" s="1"/>
      <c r="B48" s="1"/>
      <c r="C48" s="1"/>
      <c r="D48" s="1"/>
      <c r="E48" s="1"/>
      <c r="F48" s="1"/>
      <c r="G48" s="203"/>
      <c r="H48" s="188" t="s">
        <v>11</v>
      </c>
      <c r="I48" s="189"/>
      <c r="J48" s="190"/>
      <c r="K48" s="80">
        <f>1/K47</f>
        <v>4</v>
      </c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203"/>
      <c r="H49" s="188" t="s">
        <v>12</v>
      </c>
      <c r="I49" s="189"/>
      <c r="J49" s="190"/>
      <c r="K49" s="81">
        <f>K46*K48</f>
        <v>4.2086000000000006</v>
      </c>
      <c r="L49" s="52"/>
      <c r="M49" s="1"/>
    </row>
    <row r="50" spans="1:13" x14ac:dyDescent="0.25">
      <c r="A50" s="1"/>
      <c r="B50" s="1"/>
      <c r="C50" s="1"/>
      <c r="D50" s="1"/>
      <c r="E50" s="1"/>
      <c r="F50" s="1"/>
      <c r="G50" s="203"/>
      <c r="H50" s="188" t="s">
        <v>13</v>
      </c>
      <c r="I50" s="189"/>
      <c r="J50" s="190"/>
      <c r="K50" s="81">
        <f>K49-K46</f>
        <v>3.1564500000000004</v>
      </c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203"/>
      <c r="H51" s="188" t="s">
        <v>14</v>
      </c>
      <c r="I51" s="189"/>
      <c r="J51" s="190"/>
      <c r="K51" s="79">
        <v>0.13</v>
      </c>
      <c r="L51" s="1"/>
      <c r="M51" s="1"/>
    </row>
    <row r="52" spans="1:13" ht="17.25" thickBot="1" x14ac:dyDescent="0.3">
      <c r="A52" s="1"/>
      <c r="B52" s="1"/>
      <c r="C52" s="1"/>
      <c r="D52" s="1"/>
      <c r="E52" s="1"/>
      <c r="F52" s="1"/>
      <c r="G52" s="204"/>
      <c r="H52" s="208" t="s">
        <v>15</v>
      </c>
      <c r="I52" s="209"/>
      <c r="J52" s="210"/>
      <c r="K52" s="82">
        <f>K49*(1+K51)</f>
        <v>4.7557179999999999</v>
      </c>
      <c r="L52" s="1"/>
      <c r="M52" s="1"/>
    </row>
    <row r="53" spans="1:13" x14ac:dyDescent="0.25">
      <c r="A53" s="1"/>
      <c r="B53" s="198"/>
      <c r="C53" s="199"/>
      <c r="D53" s="1"/>
      <c r="E53" s="1"/>
      <c r="F53" s="8"/>
      <c r="G53" s="197"/>
      <c r="H53" s="140"/>
      <c r="I53" s="140"/>
      <c r="J53" s="140"/>
      <c r="K53" s="76"/>
      <c r="L53" s="8"/>
      <c r="M53" s="1"/>
    </row>
    <row r="54" spans="1:13" x14ac:dyDescent="0.25">
      <c r="A54" s="1"/>
      <c r="B54" s="200" t="s">
        <v>16</v>
      </c>
      <c r="C54" s="200"/>
      <c r="D54" s="1"/>
      <c r="E54" s="1"/>
      <c r="F54" s="8"/>
      <c r="G54" s="197"/>
      <c r="H54" s="140"/>
      <c r="I54" s="140"/>
      <c r="J54" s="140"/>
      <c r="K54" s="77"/>
      <c r="L54" s="8"/>
      <c r="M54" s="1"/>
    </row>
    <row r="55" spans="1:13" x14ac:dyDescent="0.25">
      <c r="A55" s="1"/>
      <c r="B55" s="54"/>
      <c r="C55" s="54"/>
      <c r="D55" s="1"/>
      <c r="E55" s="1"/>
      <c r="F55" s="1"/>
      <c r="G55" s="83" t="s">
        <v>17</v>
      </c>
      <c r="H55" s="56"/>
      <c r="I55" s="1"/>
      <c r="J55" s="1"/>
      <c r="K55" s="55"/>
      <c r="L55" s="1"/>
      <c r="M55" s="1"/>
    </row>
    <row r="56" spans="1:13" x14ac:dyDescent="0.25">
      <c r="A56" s="1"/>
      <c r="B56" s="54"/>
      <c r="C56" s="54"/>
      <c r="D56" s="1"/>
      <c r="E56" s="1"/>
      <c r="F56" s="1"/>
      <c r="G56" s="54"/>
      <c r="H56" s="1"/>
      <c r="I56" s="1"/>
      <c r="J56" s="1"/>
      <c r="K56" s="55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91" t="s">
        <v>52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3"/>
      <c r="M58" s="1"/>
    </row>
    <row r="59" spans="1:13" ht="62.25" customHeight="1" x14ac:dyDescent="0.25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6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mergeCells count="38">
    <mergeCell ref="A1:L4"/>
    <mergeCell ref="C6:E6"/>
    <mergeCell ref="F6:H6"/>
    <mergeCell ref="I6:L6"/>
    <mergeCell ref="F8:H8"/>
    <mergeCell ref="I8:L8"/>
    <mergeCell ref="C10:E10"/>
    <mergeCell ref="I10:L10"/>
    <mergeCell ref="A12:L12"/>
    <mergeCell ref="A14:L25"/>
    <mergeCell ref="A27:B27"/>
    <mergeCell ref="D27:E27"/>
    <mergeCell ref="G10:H10"/>
    <mergeCell ref="F27:O27"/>
    <mergeCell ref="H49:J49"/>
    <mergeCell ref="H50:J50"/>
    <mergeCell ref="H51:J51"/>
    <mergeCell ref="H52:J52"/>
    <mergeCell ref="A36:B36"/>
    <mergeCell ref="D36:F36"/>
    <mergeCell ref="A37:B37"/>
    <mergeCell ref="D38:F38"/>
    <mergeCell ref="A41:L41"/>
    <mergeCell ref="A58:L59"/>
    <mergeCell ref="G53:G54"/>
    <mergeCell ref="A42:L43"/>
    <mergeCell ref="B53:C53"/>
    <mergeCell ref="H53:J53"/>
    <mergeCell ref="B54:C54"/>
    <mergeCell ref="H54:J54"/>
    <mergeCell ref="A44:B44"/>
    <mergeCell ref="C44:E44"/>
    <mergeCell ref="F44:G44"/>
    <mergeCell ref="H44:L44"/>
    <mergeCell ref="G46:G52"/>
    <mergeCell ref="H46:J46"/>
    <mergeCell ref="H47:J47"/>
    <mergeCell ref="H48:J48"/>
  </mergeCells>
  <conditionalFormatting sqref="C28 F29:F32 F34:F35">
    <cfRule type="cellIs" dxfId="3" priority="3" stopIfTrue="1" operator="equal">
      <formula>"Sim"</formula>
    </cfRule>
  </conditionalFormatting>
  <conditionalFormatting sqref="F33">
    <cfRule type="cellIs" dxfId="2" priority="2" stopIfTrue="1" operator="equal">
      <formula>"Sim"</formula>
    </cfRule>
  </conditionalFormatting>
  <dataValidations disablePrompts="1" count="1">
    <dataValidation type="list" showInputMessage="1" showErrorMessage="1" sqref="C28 F29:F35" xr:uid="{D7DB9A4A-F024-438E-9CFD-E329B934C9B0}">
      <formula1>$M$2:$M$4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90F2F-E5C3-430A-99C0-034C2BE94ACB}">
  <dimension ref="A1:Q65"/>
  <sheetViews>
    <sheetView topLeftCell="A42" zoomScale="80" zoomScaleNormal="80" workbookViewId="0">
      <selection activeCell="A40" sqref="A40:B40"/>
    </sheetView>
  </sheetViews>
  <sheetFormatPr defaultRowHeight="16.5" x14ac:dyDescent="0.25"/>
  <cols>
    <col min="1" max="1" width="20.28515625" style="2" customWidth="1"/>
    <col min="2" max="2" width="13.42578125" style="2" customWidth="1"/>
    <col min="3" max="3" width="8.85546875" style="2" customWidth="1"/>
    <col min="4" max="4" width="8.42578125" style="2" customWidth="1"/>
    <col min="5" max="5" width="11.42578125" style="2" customWidth="1"/>
    <col min="6" max="6" width="11.5703125" style="2" customWidth="1"/>
    <col min="7" max="7" width="12" style="2" customWidth="1"/>
    <col min="8" max="8" width="13.28515625" style="2" customWidth="1"/>
    <col min="9" max="10" width="9.140625" style="2"/>
    <col min="11" max="11" width="11" style="2" customWidth="1"/>
    <col min="12" max="12" width="8.85546875" style="2" customWidth="1"/>
    <col min="13" max="13" width="8.28515625" style="2" customWidth="1"/>
    <col min="14" max="14" width="10.140625" style="2" customWidth="1"/>
    <col min="15" max="15" width="8.7109375" style="2" customWidth="1"/>
    <col min="16" max="16384" width="9.140625" style="2"/>
  </cols>
  <sheetData>
    <row r="1" spans="1:15" x14ac:dyDescent="0.25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  <c r="M1" s="1"/>
    </row>
    <row r="2" spans="1:15" x14ac:dyDescent="0.25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3"/>
      <c r="M2" s="3" t="s">
        <v>1</v>
      </c>
    </row>
    <row r="3" spans="1:15" x14ac:dyDescent="0.2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3"/>
      <c r="M3" s="3" t="s">
        <v>2</v>
      </c>
    </row>
    <row r="4" spans="1:15" x14ac:dyDescent="0.25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6"/>
      <c r="M4" s="3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/>
      <c r="M5" s="3"/>
    </row>
    <row r="6" spans="1:15" x14ac:dyDescent="0.25">
      <c r="A6" s="1"/>
      <c r="B6" s="5"/>
      <c r="C6" s="141"/>
      <c r="D6" s="141"/>
      <c r="E6" s="141"/>
      <c r="F6" s="141" t="s">
        <v>3</v>
      </c>
      <c r="G6" s="141"/>
      <c r="H6" s="157"/>
      <c r="I6" s="142" t="s">
        <v>57</v>
      </c>
      <c r="J6" s="143"/>
      <c r="K6" s="143"/>
      <c r="L6" s="144"/>
      <c r="M6" s="3"/>
    </row>
    <row r="7" spans="1:15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3"/>
    </row>
    <row r="8" spans="1:15" x14ac:dyDescent="0.25">
      <c r="A8" s="1"/>
      <c r="B8" s="5"/>
      <c r="C8" s="5"/>
      <c r="D8" s="5"/>
      <c r="E8" s="5"/>
      <c r="F8" s="141" t="s">
        <v>4</v>
      </c>
      <c r="G8" s="141"/>
      <c r="H8" s="157"/>
      <c r="I8" s="142" t="s">
        <v>44</v>
      </c>
      <c r="J8" s="143"/>
      <c r="K8" s="143"/>
      <c r="L8" s="144"/>
      <c r="M8" s="3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6"/>
      <c r="N9" s="7"/>
      <c r="O9" s="7"/>
    </row>
    <row r="10" spans="1:15" x14ac:dyDescent="0.25">
      <c r="A10" s="1"/>
      <c r="B10" s="5"/>
      <c r="C10" s="141"/>
      <c r="D10" s="141"/>
      <c r="E10" s="141"/>
      <c r="F10" s="1"/>
      <c r="G10" s="141" t="s">
        <v>5</v>
      </c>
      <c r="H10" s="157"/>
      <c r="I10" s="142">
        <v>5</v>
      </c>
      <c r="J10" s="143"/>
      <c r="K10" s="143"/>
      <c r="L10" s="144"/>
      <c r="M10" s="8"/>
      <c r="N10" s="7"/>
      <c r="O10" s="7"/>
    </row>
    <row r="11" spans="1:15" ht="17.2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8"/>
      <c r="N11" s="7"/>
      <c r="O11" s="7"/>
    </row>
    <row r="12" spans="1:15" ht="25.5" customHeight="1" thickBot="1" x14ac:dyDescent="0.3">
      <c r="A12" s="145" t="s">
        <v>61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7"/>
      <c r="M12" s="8"/>
      <c r="N12" s="7"/>
      <c r="O12" s="7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8"/>
      <c r="N13" s="7"/>
      <c r="O13" s="7"/>
    </row>
    <row r="14" spans="1:15" x14ac:dyDescent="0.25">
      <c r="A14" s="160" t="s">
        <v>55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2"/>
      <c r="M14" s="8"/>
      <c r="N14" s="7"/>
      <c r="O14" s="7"/>
    </row>
    <row r="15" spans="1:15" x14ac:dyDescent="0.25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5"/>
      <c r="M15" s="8"/>
      <c r="N15" s="7"/>
      <c r="O15" s="7"/>
    </row>
    <row r="16" spans="1:15" x14ac:dyDescent="0.25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5"/>
      <c r="M16" s="8"/>
      <c r="N16" s="7"/>
      <c r="O16" s="7"/>
    </row>
    <row r="17" spans="1:15" x14ac:dyDescent="0.25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5"/>
      <c r="M17" s="8"/>
      <c r="N17" s="7"/>
      <c r="O17" s="7"/>
    </row>
    <row r="18" spans="1:15" x14ac:dyDescent="0.25">
      <c r="A18" s="163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5"/>
      <c r="M18" s="8"/>
      <c r="N18" s="7"/>
      <c r="O18" s="7"/>
    </row>
    <row r="19" spans="1:15" x14ac:dyDescent="0.25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5"/>
      <c r="M19" s="8"/>
      <c r="N19" s="7"/>
      <c r="O19" s="7"/>
    </row>
    <row r="20" spans="1:15" x14ac:dyDescent="0.25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5"/>
      <c r="M20" s="8"/>
      <c r="N20" s="7"/>
      <c r="O20" s="7"/>
    </row>
    <row r="21" spans="1:15" x14ac:dyDescent="0.25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5"/>
      <c r="M21" s="8"/>
      <c r="N21" s="7"/>
      <c r="O21" s="7"/>
    </row>
    <row r="22" spans="1:15" x14ac:dyDescent="0.25">
      <c r="A22" s="163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5"/>
      <c r="M22" s="8"/>
      <c r="N22" s="7"/>
      <c r="O22" s="7"/>
    </row>
    <row r="23" spans="1:15" x14ac:dyDescent="0.25">
      <c r="A23" s="163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5"/>
      <c r="M23" s="8"/>
      <c r="N23" s="7"/>
      <c r="O23" s="7"/>
    </row>
    <row r="24" spans="1:15" x14ac:dyDescent="0.25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5"/>
      <c r="M24" s="8"/>
      <c r="N24" s="7"/>
      <c r="O24" s="7"/>
    </row>
    <row r="25" spans="1:15" x14ac:dyDescent="0.25">
      <c r="A25" s="16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8"/>
      <c r="M25" s="8"/>
      <c r="N25" s="7"/>
      <c r="O25" s="7"/>
    </row>
    <row r="26" spans="1:15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1"/>
      <c r="M26" s="8"/>
      <c r="N26" s="7"/>
      <c r="O26" s="7"/>
    </row>
    <row r="27" spans="1:15" ht="36.75" customHeight="1" x14ac:dyDescent="0.25">
      <c r="A27" s="169"/>
      <c r="B27" s="169"/>
      <c r="C27" s="9"/>
      <c r="D27" s="169"/>
      <c r="E27" s="169"/>
      <c r="F27" s="142" t="s">
        <v>43</v>
      </c>
      <c r="G27" s="143"/>
      <c r="H27" s="143"/>
      <c r="I27" s="143"/>
      <c r="J27" s="143"/>
      <c r="K27" s="143"/>
      <c r="L27" s="143"/>
      <c r="M27" s="143"/>
      <c r="N27" s="143"/>
      <c r="O27" s="144"/>
    </row>
    <row r="28" spans="1:15" ht="82.5" x14ac:dyDescent="0.25">
      <c r="A28" s="95" t="s">
        <v>25</v>
      </c>
      <c r="B28" s="10" t="s">
        <v>40</v>
      </c>
      <c r="C28" s="10" t="s">
        <v>38</v>
      </c>
      <c r="D28" s="10" t="s">
        <v>72</v>
      </c>
      <c r="E28" s="10" t="s">
        <v>74</v>
      </c>
      <c r="F28" s="10" t="s">
        <v>39</v>
      </c>
      <c r="G28" s="112" t="s">
        <v>26</v>
      </c>
      <c r="H28" s="112" t="s">
        <v>27</v>
      </c>
      <c r="I28" s="112" t="s">
        <v>28</v>
      </c>
      <c r="J28" s="112" t="s">
        <v>29</v>
      </c>
      <c r="K28" s="112" t="s">
        <v>30</v>
      </c>
      <c r="L28" s="112" t="s">
        <v>31</v>
      </c>
      <c r="M28" s="112" t="s">
        <v>32</v>
      </c>
      <c r="N28" s="112" t="s">
        <v>33</v>
      </c>
      <c r="O28" s="112" t="s">
        <v>34</v>
      </c>
    </row>
    <row r="29" spans="1:15" x14ac:dyDescent="0.25">
      <c r="A29" s="11" t="s">
        <v>70</v>
      </c>
      <c r="B29" s="67">
        <f>0.14/2</f>
        <v>7.0000000000000007E-2</v>
      </c>
      <c r="C29" s="12" t="s">
        <v>22</v>
      </c>
      <c r="D29" s="84">
        <v>0.99</v>
      </c>
      <c r="E29" s="98">
        <f>+B29*D29</f>
        <v>6.93E-2</v>
      </c>
      <c r="F29" s="101" t="s">
        <v>2</v>
      </c>
      <c r="G29" s="15">
        <f>(390*B29)/0.1</f>
        <v>273</v>
      </c>
      <c r="H29" s="14">
        <f>1660*B29</f>
        <v>116.20000000000002</v>
      </c>
      <c r="I29" s="16" t="s">
        <v>51</v>
      </c>
      <c r="J29" s="17" t="s">
        <v>51</v>
      </c>
      <c r="K29" s="16">
        <f>97.5*B29</f>
        <v>6.8250000000000011</v>
      </c>
      <c r="L29" s="17">
        <f>97.5*B29</f>
        <v>6.8250000000000011</v>
      </c>
      <c r="M29" s="16">
        <v>0</v>
      </c>
      <c r="N29" s="17">
        <v>0</v>
      </c>
      <c r="O29" s="17">
        <v>0</v>
      </c>
    </row>
    <row r="30" spans="1:15" x14ac:dyDescent="0.25">
      <c r="A30" s="18" t="s">
        <v>62</v>
      </c>
      <c r="B30" s="68">
        <f>0.15/2</f>
        <v>7.4999999999999997E-2</v>
      </c>
      <c r="C30" s="19" t="s">
        <v>22</v>
      </c>
      <c r="D30" s="96">
        <v>1</v>
      </c>
      <c r="E30" s="99">
        <f t="shared" ref="E30:E38" si="0">+B30*D30</f>
        <v>7.4999999999999997E-2</v>
      </c>
      <c r="F30" s="43" t="s">
        <v>2</v>
      </c>
      <c r="G30" s="23">
        <f>(130*B30)/0.1</f>
        <v>97.5</v>
      </c>
      <c r="H30" s="97">
        <f>545*B30</f>
        <v>40.875</v>
      </c>
      <c r="I30" s="7">
        <f>2.1*B30</f>
        <v>0.1575</v>
      </c>
      <c r="J30" s="26">
        <f>0.2*B30</f>
        <v>1.4999999999999999E-2</v>
      </c>
      <c r="K30" s="7">
        <f>16.7*B30</f>
        <v>1.2524999999999999</v>
      </c>
      <c r="L30" s="28">
        <f>1*B30</f>
        <v>7.4999999999999997E-2</v>
      </c>
      <c r="M30" s="7">
        <f>5.1*B30</f>
        <v>0.38249999999999995</v>
      </c>
      <c r="N30" s="28">
        <f>8.4*B30</f>
        <v>0.63</v>
      </c>
      <c r="O30" s="28">
        <f>0.6*B30</f>
        <v>4.4999999999999998E-2</v>
      </c>
    </row>
    <row r="31" spans="1:15" x14ac:dyDescent="0.25">
      <c r="A31" s="18" t="s">
        <v>63</v>
      </c>
      <c r="B31" s="68">
        <v>12</v>
      </c>
      <c r="C31" s="19" t="s">
        <v>67</v>
      </c>
      <c r="D31" s="96">
        <v>0.15</v>
      </c>
      <c r="E31" s="99">
        <f>+B31*D31</f>
        <v>1.7999999999999998</v>
      </c>
      <c r="F31" s="43" t="s">
        <v>1</v>
      </c>
      <c r="G31" s="23">
        <f>(149*B31)/1</f>
        <v>1788</v>
      </c>
      <c r="H31" s="97" t="s">
        <v>76</v>
      </c>
      <c r="I31" s="7">
        <v>10.8</v>
      </c>
      <c r="J31" s="28">
        <v>2.7</v>
      </c>
      <c r="K31" s="7">
        <v>0</v>
      </c>
      <c r="L31" s="28">
        <v>0</v>
      </c>
      <c r="M31" s="7">
        <v>0</v>
      </c>
      <c r="N31" s="28" t="s">
        <v>53</v>
      </c>
      <c r="O31" s="28">
        <v>0.4</v>
      </c>
    </row>
    <row r="32" spans="1:15" x14ac:dyDescent="0.25">
      <c r="A32" s="18" t="s">
        <v>21</v>
      </c>
      <c r="B32" s="68">
        <v>0.03</v>
      </c>
      <c r="C32" s="19" t="s">
        <v>23</v>
      </c>
      <c r="D32" s="96">
        <v>6.46</v>
      </c>
      <c r="E32" s="99">
        <f t="shared" si="0"/>
        <v>0.1938</v>
      </c>
      <c r="F32" s="43" t="s">
        <v>2</v>
      </c>
      <c r="G32" s="23">
        <f>(192*B32)/0.1</f>
        <v>57.599999999999994</v>
      </c>
      <c r="H32" s="103">
        <f t="shared" ref="H32" si="1">800*B32</f>
        <v>24</v>
      </c>
      <c r="I32" s="7">
        <f>12.2*B32</f>
        <v>0.36599999999999999</v>
      </c>
      <c r="J32" s="28">
        <f t="shared" ref="J32" si="2">3.2*B32</f>
        <v>9.6000000000000002E-2</v>
      </c>
      <c r="K32" s="27">
        <v>0</v>
      </c>
      <c r="L32" s="25">
        <v>0</v>
      </c>
      <c r="M32" s="27">
        <v>0</v>
      </c>
      <c r="N32" s="25">
        <v>0</v>
      </c>
      <c r="O32" s="25">
        <v>0</v>
      </c>
    </row>
    <row r="33" spans="1:17" x14ac:dyDescent="0.25">
      <c r="A33" s="18" t="s">
        <v>77</v>
      </c>
      <c r="B33" s="68">
        <v>1.4999999999999999E-2</v>
      </c>
      <c r="C33" s="19" t="s">
        <v>23</v>
      </c>
      <c r="D33" s="96">
        <v>0.48</v>
      </c>
      <c r="E33" s="99">
        <f t="shared" si="0"/>
        <v>7.1999999999999998E-3</v>
      </c>
      <c r="F33" s="43" t="s">
        <v>1</v>
      </c>
      <c r="G33" s="23">
        <f>(47*B33)/0.1</f>
        <v>7.0499999999999989</v>
      </c>
      <c r="H33" s="97">
        <f>199*B33</f>
        <v>2.9849999999999999</v>
      </c>
      <c r="I33" s="7">
        <f>1.6*B33</f>
        <v>2.4E-2</v>
      </c>
      <c r="J33" s="28">
        <f>0.9*B33</f>
        <v>1.35E-2</v>
      </c>
      <c r="K33" s="7">
        <f>4.9*B33</f>
        <v>7.3499999999999996E-2</v>
      </c>
      <c r="L33" s="28">
        <f>4.9*B33</f>
        <v>7.3499999999999996E-2</v>
      </c>
      <c r="M33" s="7">
        <v>0</v>
      </c>
      <c r="N33" s="28">
        <f>3.3*B33</f>
        <v>4.9499999999999995E-2</v>
      </c>
      <c r="O33" s="28">
        <f>0.1*B33</f>
        <v>1.5E-3</v>
      </c>
    </row>
    <row r="34" spans="1:17" ht="16.5" customHeight="1" x14ac:dyDescent="0.25">
      <c r="A34" s="18" t="s">
        <v>64</v>
      </c>
      <c r="B34" s="68">
        <v>2.5000000000000001E-2</v>
      </c>
      <c r="C34" s="19" t="s">
        <v>22</v>
      </c>
      <c r="D34" s="85">
        <v>1.99</v>
      </c>
      <c r="E34" s="99">
        <f t="shared" si="0"/>
        <v>4.9750000000000003E-2</v>
      </c>
      <c r="F34" s="43" t="s">
        <v>2</v>
      </c>
      <c r="G34" s="23">
        <f>(31*B34)/0.1</f>
        <v>7.75</v>
      </c>
      <c r="H34" s="21">
        <f>130*B34</f>
        <v>3.25</v>
      </c>
      <c r="I34" s="24">
        <f>0.3*B34</f>
        <v>7.4999999999999997E-3</v>
      </c>
      <c r="J34" s="25">
        <f>0.1*B34</f>
        <v>2.5000000000000005E-3</v>
      </c>
      <c r="K34" s="27">
        <f>1.9*B34</f>
        <v>4.7500000000000001E-2</v>
      </c>
      <c r="L34" s="25">
        <f>1.9*B34</f>
        <v>4.7500000000000001E-2</v>
      </c>
      <c r="M34" s="27">
        <f>2.1*B34</f>
        <v>5.2500000000000005E-2</v>
      </c>
      <c r="N34" s="25">
        <f>0.5*B34</f>
        <v>1.2500000000000001E-2</v>
      </c>
      <c r="O34" s="25">
        <v>0</v>
      </c>
    </row>
    <row r="35" spans="1:17" x14ac:dyDescent="0.25">
      <c r="A35" s="30" t="s">
        <v>65</v>
      </c>
      <c r="B35" s="30">
        <v>5.0000000000000001E-3</v>
      </c>
      <c r="C35" s="19" t="s">
        <v>22</v>
      </c>
      <c r="D35" s="85">
        <v>10</v>
      </c>
      <c r="E35" s="99">
        <f t="shared" si="0"/>
        <v>0.05</v>
      </c>
      <c r="F35" s="43" t="s">
        <v>2</v>
      </c>
      <c r="G35" s="23">
        <f>(315*B35)/0.1</f>
        <v>15.749999999999998</v>
      </c>
      <c r="H35" s="28">
        <f>1320*B35</f>
        <v>6.6000000000000005</v>
      </c>
      <c r="I35" s="7">
        <f>3.2*B35</f>
        <v>1.6E-2</v>
      </c>
      <c r="J35" s="28">
        <f>0.7*B35</f>
        <v>3.4999999999999996E-3</v>
      </c>
      <c r="K35" s="7">
        <f>55.5*B35</f>
        <v>0.27750000000000002</v>
      </c>
      <c r="L35" s="28">
        <f>55.5*B35</f>
        <v>0.27750000000000002</v>
      </c>
      <c r="M35" s="105">
        <f>24.4*B5</f>
        <v>0</v>
      </c>
      <c r="N35" s="28">
        <f>3.9*B35</f>
        <v>1.95E-2</v>
      </c>
      <c r="O35" s="28">
        <f>0.1*B35</f>
        <v>5.0000000000000001E-4</v>
      </c>
    </row>
    <row r="36" spans="1:17" x14ac:dyDescent="0.25">
      <c r="A36" s="18" t="s">
        <v>60</v>
      </c>
      <c r="B36" s="30">
        <v>0.05</v>
      </c>
      <c r="C36" s="19" t="s">
        <v>22</v>
      </c>
      <c r="D36" s="85">
        <v>2.69</v>
      </c>
      <c r="E36" s="99">
        <f t="shared" si="0"/>
        <v>0.13450000000000001</v>
      </c>
      <c r="F36" s="43" t="s">
        <v>2</v>
      </c>
      <c r="G36" s="23">
        <f>(19*B36)/0.1</f>
        <v>9.5</v>
      </c>
      <c r="H36" s="103">
        <f>80*B36</f>
        <v>4</v>
      </c>
      <c r="I36" s="7">
        <f>0.3*B36</f>
        <v>1.4999999999999999E-2</v>
      </c>
      <c r="J36" s="106">
        <f>3.2*B36</f>
        <v>0.16000000000000003</v>
      </c>
      <c r="K36" s="105">
        <f>2*B36</f>
        <v>0.1</v>
      </c>
      <c r="L36" s="25">
        <f>1.9*B36</f>
        <v>9.5000000000000001E-2</v>
      </c>
      <c r="M36" s="105">
        <f>1*B36</f>
        <v>0.05</v>
      </c>
      <c r="N36" s="106">
        <f>1.6*B36</f>
        <v>8.0000000000000016E-2</v>
      </c>
      <c r="O36" s="106">
        <v>0</v>
      </c>
    </row>
    <row r="37" spans="1:17" x14ac:dyDescent="0.25">
      <c r="A37" s="18" t="s">
        <v>68</v>
      </c>
      <c r="B37" s="68">
        <f>0.2/2</f>
        <v>0.1</v>
      </c>
      <c r="C37" s="19" t="s">
        <v>22</v>
      </c>
      <c r="D37" s="85">
        <v>0.66</v>
      </c>
      <c r="E37" s="99">
        <f t="shared" si="0"/>
        <v>6.6000000000000003E-2</v>
      </c>
      <c r="F37" s="43" t="s">
        <v>1</v>
      </c>
      <c r="G37" s="23">
        <f>(349*B37)/0.1</f>
        <v>348.99999999999994</v>
      </c>
      <c r="H37" s="21">
        <f>1480*B37</f>
        <v>148</v>
      </c>
      <c r="I37" s="24">
        <f>1.5*B37</f>
        <v>0.15000000000000002</v>
      </c>
      <c r="J37" s="25">
        <f>0.3*B37</f>
        <v>0.03</v>
      </c>
      <c r="K37" s="24">
        <f>73.7*B37</f>
        <v>7.370000000000001</v>
      </c>
      <c r="L37" s="26">
        <f>2.1*B37</f>
        <v>0.21000000000000002</v>
      </c>
      <c r="M37" s="24">
        <f>3.3*B37</f>
        <v>0.33</v>
      </c>
      <c r="N37" s="26">
        <f>8.5*B37</f>
        <v>0.85000000000000009</v>
      </c>
      <c r="O37" s="26">
        <v>0</v>
      </c>
    </row>
    <row r="38" spans="1:17" x14ac:dyDescent="0.25">
      <c r="A38" s="70" t="s">
        <v>66</v>
      </c>
      <c r="B38" s="71">
        <f>0.01/2</f>
        <v>5.0000000000000001E-3</v>
      </c>
      <c r="C38" s="69" t="s">
        <v>22</v>
      </c>
      <c r="D38" s="86">
        <v>6.6</v>
      </c>
      <c r="E38" s="100">
        <f t="shared" si="0"/>
        <v>3.3000000000000002E-2</v>
      </c>
      <c r="F38" s="102" t="s">
        <v>2</v>
      </c>
      <c r="G38" s="40">
        <f>(156*B38)/0.1</f>
        <v>7.8</v>
      </c>
      <c r="H38" s="36">
        <f>665*B38</f>
        <v>3.3250000000000002</v>
      </c>
      <c r="I38" s="72" t="s">
        <v>51</v>
      </c>
      <c r="J38" s="73" t="s">
        <v>51</v>
      </c>
      <c r="K38" s="72">
        <f>34.4*B38</f>
        <v>0.17199999999999999</v>
      </c>
      <c r="L38" s="74">
        <v>0</v>
      </c>
      <c r="M38" s="72">
        <v>0</v>
      </c>
      <c r="N38" s="74">
        <f>4.7*B38</f>
        <v>2.35E-2</v>
      </c>
      <c r="O38" s="73">
        <f>46*B38</f>
        <v>0.23</v>
      </c>
    </row>
    <row r="39" spans="1:17" ht="17.25" thickBot="1" x14ac:dyDescent="0.3">
      <c r="A39" s="43"/>
      <c r="B39" s="20"/>
      <c r="C39" s="20"/>
      <c r="D39" s="44"/>
      <c r="E39" s="44"/>
      <c r="F39" s="43"/>
      <c r="G39" s="7"/>
      <c r="H39" s="7"/>
      <c r="I39" s="24"/>
      <c r="J39" s="27"/>
      <c r="K39" s="24"/>
      <c r="L39" s="24"/>
      <c r="M39" s="27"/>
      <c r="N39" s="24"/>
      <c r="O39" s="24"/>
    </row>
    <row r="40" spans="1:17" ht="35.25" customHeight="1" thickBot="1" x14ac:dyDescent="0.3">
      <c r="A40" s="158"/>
      <c r="B40" s="158"/>
      <c r="C40" s="43"/>
      <c r="D40" s="170" t="s">
        <v>90</v>
      </c>
      <c r="E40" s="171"/>
      <c r="F40" s="172"/>
      <c r="G40" s="45">
        <f>SUM(G29:G38)</f>
        <v>2612.9500000000003</v>
      </c>
      <c r="H40" s="45">
        <f t="shared" ref="H40:O40" si="3">SUM(H29:H38)</f>
        <v>349.23500000000001</v>
      </c>
      <c r="I40" s="45">
        <f t="shared" si="3"/>
        <v>11.536000000000001</v>
      </c>
      <c r="J40" s="45">
        <f t="shared" si="3"/>
        <v>3.0205000000000002</v>
      </c>
      <c r="K40" s="45">
        <f t="shared" si="3"/>
        <v>16.117999999999999</v>
      </c>
      <c r="L40" s="45">
        <f t="shared" si="3"/>
        <v>7.6035000000000013</v>
      </c>
      <c r="M40" s="45">
        <f t="shared" si="3"/>
        <v>0.81499999999999995</v>
      </c>
      <c r="N40" s="45">
        <f t="shared" si="3"/>
        <v>1.665</v>
      </c>
      <c r="O40" s="222">
        <f t="shared" si="3"/>
        <v>0.67700000000000005</v>
      </c>
    </row>
    <row r="41" spans="1:17" ht="15.75" customHeight="1" thickBot="1" x14ac:dyDescent="0.3">
      <c r="A41" s="159"/>
      <c r="B41" s="159"/>
      <c r="C41" s="43"/>
      <c r="D41" s="46"/>
      <c r="E41" s="46"/>
      <c r="F41" s="47"/>
      <c r="G41" s="2" t="s">
        <v>35</v>
      </c>
      <c r="H41" s="2" t="s">
        <v>36</v>
      </c>
      <c r="I41" s="2" t="s">
        <v>37</v>
      </c>
      <c r="J41" s="2" t="s">
        <v>37</v>
      </c>
      <c r="K41" s="2" t="s">
        <v>37</v>
      </c>
      <c r="L41" s="2" t="s">
        <v>37</v>
      </c>
      <c r="M41" s="2" t="s">
        <v>37</v>
      </c>
      <c r="N41" s="2" t="s">
        <v>37</v>
      </c>
      <c r="O41" s="2" t="s">
        <v>37</v>
      </c>
    </row>
    <row r="42" spans="1:17" ht="45.75" customHeight="1" thickBot="1" x14ac:dyDescent="0.3">
      <c r="A42" s="43"/>
      <c r="B42" s="43"/>
      <c r="C42" s="43"/>
      <c r="D42" s="170" t="s">
        <v>91</v>
      </c>
      <c r="E42" s="171"/>
      <c r="F42" s="171"/>
      <c r="G42" s="48">
        <f>+((G40)*0.07)/5</f>
        <v>36.581300000000006</v>
      </c>
      <c r="H42" s="48">
        <f t="shared" ref="H42:O42" si="4">+H40/5</f>
        <v>69.847000000000008</v>
      </c>
      <c r="I42" s="48">
        <f t="shared" si="4"/>
        <v>2.3072000000000004</v>
      </c>
      <c r="J42" s="48">
        <f t="shared" si="4"/>
        <v>0.60410000000000008</v>
      </c>
      <c r="K42" s="48">
        <f t="shared" si="4"/>
        <v>3.2235999999999998</v>
      </c>
      <c r="L42" s="48">
        <f t="shared" si="4"/>
        <v>1.5207000000000002</v>
      </c>
      <c r="M42" s="48">
        <f t="shared" si="4"/>
        <v>0.16299999999999998</v>
      </c>
      <c r="N42" s="48">
        <f t="shared" si="4"/>
        <v>0.33300000000000002</v>
      </c>
      <c r="O42" s="48">
        <f t="shared" si="4"/>
        <v>0.13540000000000002</v>
      </c>
    </row>
    <row r="43" spans="1:17" ht="15.75" customHeight="1" x14ac:dyDescent="0.25">
      <c r="A43" s="43"/>
      <c r="B43" s="43"/>
      <c r="C43" s="43"/>
      <c r="D43" s="46"/>
      <c r="E43" s="46"/>
      <c r="F43" s="47"/>
    </row>
    <row r="44" spans="1:17" ht="17.2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7" ht="35.25" customHeight="1" thickBot="1" x14ac:dyDescent="0.3">
      <c r="A45" s="170" t="s">
        <v>6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2"/>
      <c r="M45" s="1"/>
      <c r="P45" s="49"/>
      <c r="Q45" s="49"/>
    </row>
    <row r="46" spans="1:17" ht="27" customHeight="1" x14ac:dyDescent="0.25">
      <c r="A46" s="182" t="s">
        <v>69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4"/>
      <c r="M46" s="1"/>
      <c r="P46" s="64"/>
      <c r="Q46" s="64"/>
    </row>
    <row r="47" spans="1:17" ht="17.25" thickBot="1" x14ac:dyDescent="0.3">
      <c r="A47" s="182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4"/>
      <c r="M47" s="1"/>
    </row>
    <row r="48" spans="1:17" ht="26.25" customHeight="1" thickBot="1" x14ac:dyDescent="0.3">
      <c r="A48" s="185" t="s">
        <v>7</v>
      </c>
      <c r="B48" s="186"/>
      <c r="C48" s="185"/>
      <c r="D48" s="187"/>
      <c r="E48" s="186"/>
      <c r="F48" s="185" t="s">
        <v>24</v>
      </c>
      <c r="G48" s="186"/>
      <c r="H48" s="185"/>
      <c r="I48" s="187"/>
      <c r="J48" s="187"/>
      <c r="K48" s="187"/>
      <c r="L48" s="186"/>
      <c r="M48" s="1"/>
    </row>
    <row r="49" spans="1:14" ht="17.25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4" ht="13.5" customHeight="1" x14ac:dyDescent="0.25">
      <c r="A50" s="1"/>
      <c r="B50" s="1"/>
      <c r="C50" s="1"/>
      <c r="D50" s="1"/>
      <c r="E50" s="1"/>
      <c r="F50" s="1"/>
      <c r="G50" s="202" t="s">
        <v>8</v>
      </c>
      <c r="H50" s="205" t="s">
        <v>9</v>
      </c>
      <c r="I50" s="206"/>
      <c r="J50" s="207"/>
      <c r="K50" s="78">
        <f>SUM(E29:E38)/5</f>
        <v>0.49570999999999987</v>
      </c>
      <c r="L50" s="1"/>
      <c r="M50" s="1"/>
    </row>
    <row r="51" spans="1:14" x14ac:dyDescent="0.25">
      <c r="A51" s="1"/>
      <c r="B51" s="1"/>
      <c r="C51" s="1"/>
      <c r="D51" s="1"/>
      <c r="E51" s="1"/>
      <c r="F51" s="1"/>
      <c r="G51" s="203"/>
      <c r="H51" s="188" t="s">
        <v>10</v>
      </c>
      <c r="I51" s="189"/>
      <c r="J51" s="190"/>
      <c r="K51" s="79">
        <v>0.25</v>
      </c>
      <c r="L51" s="1"/>
      <c r="M51" s="1"/>
    </row>
    <row r="52" spans="1:14" x14ac:dyDescent="0.25">
      <c r="A52" s="1"/>
      <c r="B52" s="1"/>
      <c r="C52" s="1"/>
      <c r="D52" s="1"/>
      <c r="E52" s="1"/>
      <c r="F52" s="1"/>
      <c r="G52" s="203"/>
      <c r="H52" s="188" t="s">
        <v>11</v>
      </c>
      <c r="I52" s="189"/>
      <c r="J52" s="190"/>
      <c r="K52" s="80">
        <f>1/K51</f>
        <v>4</v>
      </c>
      <c r="L52" s="1"/>
      <c r="M52" s="1"/>
    </row>
    <row r="53" spans="1:14" x14ac:dyDescent="0.25">
      <c r="A53" s="1"/>
      <c r="B53" s="1"/>
      <c r="C53" s="1"/>
      <c r="D53" s="1"/>
      <c r="E53" s="1"/>
      <c r="F53" s="1"/>
      <c r="G53" s="203"/>
      <c r="H53" s="188" t="s">
        <v>12</v>
      </c>
      <c r="I53" s="189"/>
      <c r="J53" s="190"/>
      <c r="K53" s="81">
        <f>K50*K52</f>
        <v>1.9828399999999995</v>
      </c>
      <c r="L53" s="52"/>
      <c r="M53" s="1"/>
    </row>
    <row r="54" spans="1:14" x14ac:dyDescent="0.25">
      <c r="A54" s="1"/>
      <c r="B54" s="1"/>
      <c r="C54" s="1"/>
      <c r="D54" s="1"/>
      <c r="E54" s="1"/>
      <c r="F54" s="1"/>
      <c r="G54" s="203"/>
      <c r="H54" s="188" t="s">
        <v>13</v>
      </c>
      <c r="I54" s="189"/>
      <c r="J54" s="190"/>
      <c r="K54" s="81">
        <f>K53-K50</f>
        <v>1.4871299999999996</v>
      </c>
      <c r="L54" s="1"/>
      <c r="M54" s="1"/>
    </row>
    <row r="55" spans="1:14" x14ac:dyDescent="0.25">
      <c r="A55" s="1"/>
      <c r="B55" s="1"/>
      <c r="C55" s="1"/>
      <c r="D55" s="1"/>
      <c r="E55" s="1"/>
      <c r="F55" s="1"/>
      <c r="G55" s="203"/>
      <c r="H55" s="188" t="s">
        <v>14</v>
      </c>
      <c r="I55" s="189"/>
      <c r="J55" s="190"/>
      <c r="K55" s="79">
        <v>0.13</v>
      </c>
      <c r="L55" s="1"/>
      <c r="M55" s="1"/>
    </row>
    <row r="56" spans="1:14" ht="17.25" thickBot="1" x14ac:dyDescent="0.3">
      <c r="A56" s="1"/>
      <c r="B56" s="1"/>
      <c r="C56" s="1"/>
      <c r="D56" s="1"/>
      <c r="E56" s="1"/>
      <c r="F56" s="1"/>
      <c r="G56" s="204"/>
      <c r="H56" s="208" t="s">
        <v>15</v>
      </c>
      <c r="I56" s="209"/>
      <c r="J56" s="210"/>
      <c r="K56" s="82">
        <f>K53*(1+K55)</f>
        <v>2.2406091999999993</v>
      </c>
      <c r="L56" s="1"/>
      <c r="M56" s="1"/>
      <c r="N56" s="109"/>
    </row>
    <row r="57" spans="1:14" x14ac:dyDescent="0.25">
      <c r="A57" s="1"/>
      <c r="B57" s="198"/>
      <c r="C57" s="199"/>
      <c r="D57" s="1"/>
      <c r="E57" s="1"/>
      <c r="F57" s="8"/>
      <c r="G57" s="197"/>
      <c r="H57" s="140"/>
      <c r="I57" s="140"/>
      <c r="J57" s="140"/>
      <c r="K57" s="76"/>
      <c r="L57" s="8"/>
      <c r="M57" s="1"/>
    </row>
    <row r="58" spans="1:14" x14ac:dyDescent="0.25">
      <c r="A58" s="1"/>
      <c r="B58" s="200" t="s">
        <v>16</v>
      </c>
      <c r="C58" s="200"/>
      <c r="D58" s="1"/>
      <c r="E58" s="1"/>
      <c r="F58" s="8"/>
      <c r="G58" s="197"/>
      <c r="H58" s="140"/>
      <c r="I58" s="140"/>
      <c r="J58" s="140"/>
      <c r="K58" s="77"/>
      <c r="L58" s="8"/>
      <c r="M58" s="1"/>
    </row>
    <row r="59" spans="1:14" x14ac:dyDescent="0.25">
      <c r="A59" s="1"/>
      <c r="B59" s="54"/>
      <c r="C59" s="54"/>
      <c r="D59" s="1"/>
      <c r="E59" s="1"/>
      <c r="F59" s="1"/>
      <c r="G59" s="83" t="s">
        <v>17</v>
      </c>
      <c r="H59" s="56"/>
      <c r="I59" s="1"/>
      <c r="J59" s="1"/>
      <c r="K59" s="55"/>
      <c r="L59" s="1"/>
      <c r="M59" s="1"/>
    </row>
    <row r="60" spans="1:14" x14ac:dyDescent="0.25">
      <c r="A60" s="1"/>
      <c r="B60" s="54"/>
      <c r="C60" s="54"/>
      <c r="D60" s="1"/>
      <c r="E60" s="1"/>
      <c r="F60" s="1"/>
      <c r="G60" s="54"/>
      <c r="H60" s="1"/>
      <c r="I60" s="1"/>
      <c r="J60" s="1"/>
      <c r="K60" s="55"/>
      <c r="L60" s="1"/>
      <c r="M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4" x14ac:dyDescent="0.25">
      <c r="A62" s="191" t="s">
        <v>52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3"/>
      <c r="M62" s="1"/>
    </row>
    <row r="63" spans="1:14" ht="62.25" customHeight="1" x14ac:dyDescent="0.25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6"/>
      <c r="M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mergeCells count="38">
    <mergeCell ref="A27:B27"/>
    <mergeCell ref="D27:E27"/>
    <mergeCell ref="A1:L4"/>
    <mergeCell ref="C6:E6"/>
    <mergeCell ref="F6:H6"/>
    <mergeCell ref="I6:L6"/>
    <mergeCell ref="F8:H8"/>
    <mergeCell ref="I8:L8"/>
    <mergeCell ref="C10:E10"/>
    <mergeCell ref="G10:H10"/>
    <mergeCell ref="I10:L10"/>
    <mergeCell ref="A12:L12"/>
    <mergeCell ref="A14:L25"/>
    <mergeCell ref="F27:O27"/>
    <mergeCell ref="A40:B40"/>
    <mergeCell ref="D40:F40"/>
    <mergeCell ref="A41:B41"/>
    <mergeCell ref="D42:F42"/>
    <mergeCell ref="A45:L45"/>
    <mergeCell ref="A48:B48"/>
    <mergeCell ref="C48:E48"/>
    <mergeCell ref="F48:G48"/>
    <mergeCell ref="H48:L48"/>
    <mergeCell ref="A46:L47"/>
    <mergeCell ref="A62:L63"/>
    <mergeCell ref="H54:J54"/>
    <mergeCell ref="H55:J55"/>
    <mergeCell ref="H56:J56"/>
    <mergeCell ref="B57:C57"/>
    <mergeCell ref="G57:G58"/>
    <mergeCell ref="H57:J57"/>
    <mergeCell ref="B58:C58"/>
    <mergeCell ref="H58:J58"/>
    <mergeCell ref="G50:G56"/>
    <mergeCell ref="H50:J50"/>
    <mergeCell ref="H51:J51"/>
    <mergeCell ref="H52:J52"/>
    <mergeCell ref="H53:J53"/>
  </mergeCells>
  <conditionalFormatting sqref="C28 F29:F39">
    <cfRule type="cellIs" dxfId="1" priority="1" stopIfTrue="1" operator="equal">
      <formula>"Sim"</formula>
    </cfRule>
  </conditionalFormatting>
  <dataValidations disablePrompts="1" count="1">
    <dataValidation type="list" showInputMessage="1" showErrorMessage="1" sqref="C28 F29:F39" xr:uid="{303E5630-A0D1-4A6E-AABE-C45386B8C82A}">
      <formula1>$M$2:$M$4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3F2D5-8DAC-4C83-9036-24800F6FE76D}">
  <dimension ref="B3:R23"/>
  <sheetViews>
    <sheetView tabSelected="1" workbookViewId="0">
      <selection activeCell="G15" sqref="G15"/>
    </sheetView>
  </sheetViews>
  <sheetFormatPr defaultRowHeight="11.25" x14ac:dyDescent="0.2"/>
  <cols>
    <col min="1" max="1" width="9.140625" style="113"/>
    <col min="2" max="2" width="11.7109375" style="113" customWidth="1"/>
    <col min="3" max="3" width="9.140625" style="113"/>
    <col min="4" max="4" width="9.28515625" style="113" customWidth="1"/>
    <col min="5" max="11" width="9.140625" style="113"/>
    <col min="12" max="12" width="18.28515625" style="113" customWidth="1"/>
    <col min="13" max="13" width="21.28515625" style="113" customWidth="1"/>
    <col min="14" max="14" width="9.140625" style="113"/>
    <col min="15" max="15" width="6.7109375" style="113" customWidth="1"/>
    <col min="16" max="16" width="16" style="113" customWidth="1"/>
    <col min="17" max="17" width="12" style="113" customWidth="1"/>
    <col min="18" max="18" width="8.5703125" style="113" customWidth="1"/>
    <col min="19" max="16384" width="9.140625" style="113"/>
  </cols>
  <sheetData>
    <row r="3" spans="2:18" ht="12" thickBot="1" x14ac:dyDescent="0.25"/>
    <row r="4" spans="2:18" ht="54.75" customHeight="1" thickBot="1" x14ac:dyDescent="0.25">
      <c r="B4" s="115" t="s">
        <v>82</v>
      </c>
      <c r="C4" s="117" t="s">
        <v>26</v>
      </c>
      <c r="D4" s="118" t="s">
        <v>27</v>
      </c>
      <c r="E4" s="118" t="s">
        <v>28</v>
      </c>
      <c r="F4" s="118" t="s">
        <v>29</v>
      </c>
      <c r="G4" s="118" t="s">
        <v>30</v>
      </c>
      <c r="H4" s="118" t="s">
        <v>31</v>
      </c>
      <c r="I4" s="118" t="s">
        <v>32</v>
      </c>
      <c r="J4" s="118" t="s">
        <v>33</v>
      </c>
      <c r="K4" s="119" t="s">
        <v>34</v>
      </c>
      <c r="L4" s="114" t="s">
        <v>83</v>
      </c>
      <c r="M4" s="114" t="s">
        <v>86</v>
      </c>
    </row>
    <row r="5" spans="2:18" ht="17.25" customHeight="1" x14ac:dyDescent="0.2">
      <c r="B5" s="127" t="s">
        <v>18</v>
      </c>
      <c r="C5" s="131">
        <f>+'Creme de Lentilhas'!G39</f>
        <v>241.85</v>
      </c>
      <c r="D5" s="132">
        <f>+'Creme de Lentilhas'!H39</f>
        <v>56.207000000000008</v>
      </c>
      <c r="E5" s="132">
        <f>+'Creme de Lentilhas'!I39</f>
        <v>0.13250000000000001</v>
      </c>
      <c r="F5" s="132">
        <f>+'Creme de Lentilhas'!J39</f>
        <v>1.4500000000000002E-2</v>
      </c>
      <c r="G5" s="132">
        <f>+'Creme de Lentilhas'!K39</f>
        <v>1.8532999999999997</v>
      </c>
      <c r="H5" s="132">
        <f>+'Creme de Lentilhas'!L39</f>
        <v>6.7900000000000002E-2</v>
      </c>
      <c r="I5" s="132">
        <f>+'Creme de Lentilhas'!M39</f>
        <v>0.46980000000000005</v>
      </c>
      <c r="J5" s="132">
        <f>+'Creme de Lentilhas'!N39</f>
        <v>0.94299999999999995</v>
      </c>
      <c r="K5" s="133">
        <f>+'Creme de Lentilhas'!O39</f>
        <v>10.045400000000001</v>
      </c>
      <c r="L5" s="211">
        <f>SUM(C5:C8)</f>
        <v>699.51630000000011</v>
      </c>
      <c r="M5" s="214" t="s">
        <v>85</v>
      </c>
    </row>
    <row r="6" spans="2:18" ht="17.25" customHeight="1" x14ac:dyDescent="0.2">
      <c r="B6" s="128" t="s">
        <v>81</v>
      </c>
      <c r="C6" s="134">
        <f>+Cavala!G38</f>
        <v>421.08500000000004</v>
      </c>
      <c r="D6" s="135">
        <f>+Cavala!H38</f>
        <v>198.25</v>
      </c>
      <c r="E6" s="135">
        <f>+Cavala!I38</f>
        <v>2.01675</v>
      </c>
      <c r="F6" s="135">
        <f>+Cavala!J38</f>
        <v>0.96800000000000008</v>
      </c>
      <c r="G6" s="135">
        <f>+Cavala!K38</f>
        <v>5.4450000000000003</v>
      </c>
      <c r="H6" s="135">
        <f>+Cavala!L38</f>
        <v>0.26124999999999998</v>
      </c>
      <c r="I6" s="135">
        <f>+Cavala!M38</f>
        <v>1.6875</v>
      </c>
      <c r="J6" s="135">
        <f>+Cavala!N38</f>
        <v>14.545</v>
      </c>
      <c r="K6" s="136">
        <f>+Cavala!O38</f>
        <v>0.91249999999999998</v>
      </c>
      <c r="L6" s="212"/>
      <c r="M6" s="215"/>
    </row>
    <row r="7" spans="2:18" ht="17.25" customHeight="1" thickBot="1" x14ac:dyDescent="0.25">
      <c r="B7" s="129" t="s">
        <v>44</v>
      </c>
      <c r="C7" s="137">
        <f>+Broinhas!G42</f>
        <v>36.581300000000006</v>
      </c>
      <c r="D7" s="138">
        <f>+Broinhas!H42</f>
        <v>69.847000000000008</v>
      </c>
      <c r="E7" s="138">
        <f>+Broinhas!I42</f>
        <v>2.3072000000000004</v>
      </c>
      <c r="F7" s="138">
        <f>+Broinhas!J42</f>
        <v>0.60410000000000008</v>
      </c>
      <c r="G7" s="138">
        <f>+Broinhas!K42</f>
        <v>3.2235999999999998</v>
      </c>
      <c r="H7" s="138">
        <f>+Broinhas!L42</f>
        <v>1.5207000000000002</v>
      </c>
      <c r="I7" s="138">
        <f>+Broinhas!M42</f>
        <v>0.16299999999999998</v>
      </c>
      <c r="J7" s="138">
        <f>+Broinhas!N42</f>
        <v>0.33300000000000002</v>
      </c>
      <c r="K7" s="139">
        <f>+Broinhas!O42</f>
        <v>0.13540000000000002</v>
      </c>
      <c r="L7" s="213"/>
      <c r="M7" s="216"/>
    </row>
    <row r="8" spans="2:18" ht="15.75" customHeight="1" x14ac:dyDescent="0.2">
      <c r="L8" s="217" t="s">
        <v>89</v>
      </c>
    </row>
    <row r="9" spans="2:18" x14ac:dyDescent="0.2">
      <c r="L9" s="218"/>
    </row>
    <row r="10" spans="2:18" x14ac:dyDescent="0.2">
      <c r="L10" s="218"/>
    </row>
    <row r="11" spans="2:18" ht="12" thickBot="1" x14ac:dyDescent="0.25"/>
    <row r="12" spans="2:18" ht="45" customHeight="1" thickBot="1" x14ac:dyDescent="0.25">
      <c r="C12" s="116" t="s">
        <v>84</v>
      </c>
      <c r="D12" s="116" t="s">
        <v>87</v>
      </c>
    </row>
    <row r="13" spans="2:18" ht="16.5" customHeight="1" x14ac:dyDescent="0.2">
      <c r="B13" s="127" t="s">
        <v>18</v>
      </c>
      <c r="C13" s="120">
        <f>+'Creme de Lentilhas'!K47</f>
        <v>1.0772000000000002</v>
      </c>
      <c r="D13" s="219">
        <f>SUM(C13,C14,C15,)</f>
        <v>2.6250600000000004</v>
      </c>
    </row>
    <row r="14" spans="2:18" ht="25.5" customHeight="1" x14ac:dyDescent="0.2">
      <c r="B14" s="128" t="s">
        <v>81</v>
      </c>
      <c r="C14" s="121">
        <f>+Cavala!K46</f>
        <v>1.0521500000000001</v>
      </c>
      <c r="D14" s="220"/>
      <c r="P14" s="122" t="s">
        <v>25</v>
      </c>
      <c r="Q14" s="123" t="s">
        <v>40</v>
      </c>
      <c r="R14" s="123" t="s">
        <v>88</v>
      </c>
    </row>
    <row r="15" spans="2:18" ht="16.5" customHeight="1" thickBot="1" x14ac:dyDescent="0.25">
      <c r="B15" s="129" t="s">
        <v>44</v>
      </c>
      <c r="C15" s="130">
        <f>+Broinhas!K50</f>
        <v>0.49570999999999987</v>
      </c>
      <c r="D15" s="221"/>
      <c r="P15" s="124" t="s">
        <v>70</v>
      </c>
      <c r="Q15" s="125">
        <v>7.0000000000000007E-2</v>
      </c>
      <c r="R15" s="124"/>
    </row>
    <row r="16" spans="2:18" ht="12.75" x14ac:dyDescent="0.2">
      <c r="P16" s="124" t="s">
        <v>63</v>
      </c>
      <c r="Q16" s="125">
        <v>12</v>
      </c>
      <c r="R16" s="124" t="s">
        <v>1</v>
      </c>
    </row>
    <row r="17" spans="16:18" ht="12.75" x14ac:dyDescent="0.2">
      <c r="P17" s="124" t="s">
        <v>21</v>
      </c>
      <c r="Q17" s="125">
        <v>0.03</v>
      </c>
      <c r="R17" s="124"/>
    </row>
    <row r="18" spans="16:18" ht="12.75" x14ac:dyDescent="0.2">
      <c r="P18" s="124" t="s">
        <v>77</v>
      </c>
      <c r="Q18" s="125">
        <v>1.4999999999999999E-2</v>
      </c>
      <c r="R18" s="124" t="s">
        <v>1</v>
      </c>
    </row>
    <row r="19" spans="16:18" ht="12.75" x14ac:dyDescent="0.2">
      <c r="P19" s="124" t="s">
        <v>64</v>
      </c>
      <c r="Q19" s="125">
        <v>2.5000000000000001E-2</v>
      </c>
      <c r="R19" s="124"/>
    </row>
    <row r="20" spans="16:18" ht="12.75" x14ac:dyDescent="0.2">
      <c r="P20" s="126" t="s">
        <v>65</v>
      </c>
      <c r="Q20" s="126">
        <v>5.0000000000000001E-3</v>
      </c>
      <c r="R20" s="124"/>
    </row>
    <row r="21" spans="16:18" ht="12.75" x14ac:dyDescent="0.2">
      <c r="P21" s="124" t="s">
        <v>60</v>
      </c>
      <c r="Q21" s="126">
        <v>0.05</v>
      </c>
      <c r="R21" s="124"/>
    </row>
    <row r="22" spans="16:18" ht="12.75" x14ac:dyDescent="0.2">
      <c r="P22" s="124" t="s">
        <v>68</v>
      </c>
      <c r="Q22" s="125">
        <v>0.1</v>
      </c>
      <c r="R22" s="124" t="s">
        <v>1</v>
      </c>
    </row>
    <row r="23" spans="16:18" ht="12.75" x14ac:dyDescent="0.2">
      <c r="P23" s="124" t="s">
        <v>66</v>
      </c>
      <c r="Q23" s="125">
        <v>0.05</v>
      </c>
      <c r="R23" s="124"/>
    </row>
  </sheetData>
  <mergeCells count="4">
    <mergeCell ref="L5:L7"/>
    <mergeCell ref="M5:M7"/>
    <mergeCell ref="L8:L10"/>
    <mergeCell ref="D13:D15"/>
  </mergeCells>
  <conditionalFormatting sqref="R15:R23">
    <cfRule type="cellIs" dxfId="0" priority="1" stopIfTrue="1" operator="equal">
      <formula>"Sim"</formula>
    </cfRule>
  </conditionalFormatting>
  <dataValidations count="1">
    <dataValidation type="list" showInputMessage="1" showErrorMessage="1" sqref="R15:R23" xr:uid="{C0506590-6B01-46D0-B2F2-79F68C13722A}">
      <formula1>$M$2:$M$4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E98A42E4715A4A8C76AA55AAA5D962" ma:contentTypeVersion="4" ma:contentTypeDescription="Create a new document." ma:contentTypeScope="" ma:versionID="ebb01c93966eaeff681a288aa5997726">
  <xsd:schema xmlns:xsd="http://www.w3.org/2001/XMLSchema" xmlns:xs="http://www.w3.org/2001/XMLSchema" xmlns:p="http://schemas.microsoft.com/office/2006/metadata/properties" xmlns:ns3="f1f2b999-95af-4b22-a401-ffa3d268f987" targetNamespace="http://schemas.microsoft.com/office/2006/metadata/properties" ma:root="true" ma:fieldsID="14da7c1fb517a5c9477272e60e8d84fd" ns3:_="">
    <xsd:import namespace="f1f2b999-95af-4b22-a401-ffa3d268f9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f2b999-95af-4b22-a401-ffa3d268f9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83127A-C88A-4405-A3C3-C16A9CF992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C28F8-4DD3-4534-A292-7FC02368AD7F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f1f2b999-95af-4b22-a401-ffa3d268f98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2A9A2E-B466-4D10-971F-5FFEB6286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f2b999-95af-4b22-a401-ffa3d268f9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Creme de Lentilhas</vt:lpstr>
      <vt:lpstr>Cavala</vt:lpstr>
      <vt:lpstr>Broinhas</vt:lpstr>
      <vt:lpstr>Cálculos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</dc:creator>
  <cp:lastModifiedBy>user0</cp:lastModifiedBy>
  <dcterms:created xsi:type="dcterms:W3CDTF">2021-05-17T16:17:52Z</dcterms:created>
  <dcterms:modified xsi:type="dcterms:W3CDTF">2022-02-10T17:17:22Z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0x010100EBE98A42E4715A4A8C76AA55AAA5D962</vt:lpwstr>
  </property>
</Properties>
</file>