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la\Documents\EcoMenus\"/>
    </mc:Choice>
  </mc:AlternateContent>
  <xr:revisionPtr revIDLastSave="0" documentId="13_ncr:1_{0D7FDF5F-6ECC-4C32-9B60-8C07C8F932D3}" xr6:coauthVersionLast="47" xr6:coauthVersionMax="47" xr10:uidLastSave="{00000000-0000-0000-0000-000000000000}"/>
  <bookViews>
    <workbookView xWindow="-120" yWindow="-120" windowWidth="20730" windowHeight="11040" xr2:uid="{AA611F72-A3F9-4481-80F8-8CB178FAB2F1}"/>
  </bookViews>
  <sheets>
    <sheet name="ValorNutricio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9" i="1" l="1"/>
  <c r="L39" i="1"/>
  <c r="K39" i="1"/>
  <c r="J39" i="1"/>
  <c r="I39" i="1"/>
  <c r="H39" i="1"/>
  <c r="L30" i="1" l="1"/>
  <c r="K30" i="1"/>
  <c r="J30" i="1"/>
  <c r="I30" i="1"/>
  <c r="H30" i="1"/>
  <c r="I28" i="1"/>
  <c r="H28" i="1"/>
  <c r="H27" i="1"/>
  <c r="I27" i="1"/>
  <c r="H37" i="1"/>
  <c r="M36" i="1"/>
  <c r="L36" i="1"/>
  <c r="K36" i="1"/>
  <c r="J36" i="1"/>
  <c r="I36" i="1"/>
  <c r="H36" i="1"/>
  <c r="J13" i="1"/>
  <c r="I13" i="1"/>
  <c r="H13" i="1"/>
  <c r="M11" i="1"/>
  <c r="L11" i="1"/>
  <c r="K11" i="1"/>
  <c r="I11" i="1"/>
  <c r="H11" i="1"/>
  <c r="M9" i="1"/>
  <c r="L9" i="1"/>
  <c r="K9" i="1"/>
  <c r="J9" i="1"/>
  <c r="I9" i="1"/>
  <c r="H9" i="1"/>
  <c r="M35" i="1"/>
  <c r="L35" i="1"/>
  <c r="L42" i="1" s="1"/>
  <c r="K35" i="1"/>
  <c r="J35" i="1"/>
  <c r="J42" i="1" s="1"/>
  <c r="I35" i="1"/>
  <c r="H35" i="1"/>
  <c r="L29" i="1"/>
  <c r="K29" i="1"/>
  <c r="J29" i="1"/>
  <c r="I29" i="1"/>
  <c r="H29" i="1"/>
  <c r="M28" i="1"/>
  <c r="L28" i="1"/>
  <c r="J28" i="1"/>
  <c r="K27" i="1"/>
  <c r="J27" i="1"/>
  <c r="J31" i="1" s="1"/>
  <c r="M25" i="1"/>
  <c r="L25" i="1"/>
  <c r="K25" i="1"/>
  <c r="J25" i="1"/>
  <c r="I25" i="1"/>
  <c r="H25" i="1"/>
  <c r="M24" i="1"/>
  <c r="L24" i="1"/>
  <c r="K24" i="1"/>
  <c r="J24" i="1"/>
  <c r="I24" i="1"/>
  <c r="H24" i="1"/>
  <c r="M23" i="1"/>
  <c r="L23" i="1"/>
  <c r="K23" i="1"/>
  <c r="J23" i="1"/>
  <c r="I23" i="1"/>
  <c r="H23" i="1"/>
  <c r="M22" i="1"/>
  <c r="L22" i="1"/>
  <c r="K22" i="1"/>
  <c r="J22" i="1"/>
  <c r="I22" i="1"/>
  <c r="H22" i="1"/>
  <c r="M26" i="1"/>
  <c r="L26" i="1"/>
  <c r="K26" i="1"/>
  <c r="J26" i="1"/>
  <c r="I26" i="1"/>
  <c r="H26" i="1"/>
  <c r="M21" i="1"/>
  <c r="L21" i="1"/>
  <c r="K21" i="1"/>
  <c r="K31" i="1" s="1"/>
  <c r="J21" i="1"/>
  <c r="I21" i="1"/>
  <c r="H21" i="1"/>
  <c r="M20" i="1"/>
  <c r="L20" i="1"/>
  <c r="K20" i="1"/>
  <c r="J20" i="1"/>
  <c r="I20" i="1"/>
  <c r="H20" i="1"/>
  <c r="M14" i="1"/>
  <c r="L14" i="1"/>
  <c r="K14" i="1"/>
  <c r="J14" i="1"/>
  <c r="I14" i="1"/>
  <c r="H14" i="1"/>
  <c r="H8" i="1"/>
  <c r="M12" i="1"/>
  <c r="L12" i="1"/>
  <c r="K12" i="1"/>
  <c r="J12" i="1"/>
  <c r="I12" i="1"/>
  <c r="H12" i="1"/>
  <c r="M8" i="1"/>
  <c r="L8" i="1"/>
  <c r="L15" i="1" s="1"/>
  <c r="L44" i="1" s="1"/>
  <c r="K8" i="1"/>
  <c r="J8" i="1"/>
  <c r="I8" i="1"/>
  <c r="M10" i="1"/>
  <c r="L10" i="1"/>
  <c r="K10" i="1"/>
  <c r="J10" i="1"/>
  <c r="I10" i="1"/>
  <c r="H10" i="1"/>
  <c r="J46" i="1"/>
  <c r="H42" i="1"/>
  <c r="H46" i="1" s="1"/>
  <c r="M41" i="1"/>
  <c r="L41" i="1"/>
  <c r="K41" i="1"/>
  <c r="I41" i="1"/>
  <c r="H41" i="1"/>
  <c r="L40" i="1"/>
  <c r="J40" i="1"/>
  <c r="I40" i="1"/>
  <c r="H40" i="1"/>
  <c r="M46" i="1"/>
  <c r="L46" i="1"/>
  <c r="K46" i="1"/>
  <c r="I46" i="1"/>
  <c r="M38" i="1"/>
  <c r="L38" i="1"/>
  <c r="K38" i="1"/>
  <c r="J38" i="1"/>
  <c r="I38" i="1"/>
  <c r="H38" i="1"/>
  <c r="M37" i="1"/>
  <c r="L37" i="1"/>
  <c r="K37" i="1"/>
  <c r="J37" i="1"/>
  <c r="I37" i="1"/>
  <c r="I42" i="1"/>
  <c r="K42" i="1"/>
  <c r="M29" i="1"/>
  <c r="M45" i="1" s="1"/>
  <c r="L45" i="1"/>
  <c r="K45" i="1"/>
  <c r="J45" i="1"/>
  <c r="I45" i="1"/>
  <c r="M31" i="1"/>
  <c r="M15" i="1"/>
  <c r="M44" i="1" s="1"/>
  <c r="J15" i="1"/>
  <c r="J44" i="1" s="1"/>
  <c r="K15" i="1"/>
  <c r="K44" i="1" s="1"/>
  <c r="K47" i="1" s="1"/>
  <c r="K48" i="1" s="1"/>
  <c r="H15" i="1"/>
  <c r="H44" i="1" s="1"/>
  <c r="M42" i="1" l="1"/>
  <c r="L47" i="1"/>
  <c r="L48" i="1" s="1"/>
  <c r="L31" i="1"/>
  <c r="I31" i="1"/>
  <c r="H31" i="1"/>
  <c r="H45" i="1" s="1"/>
  <c r="H47" i="1" s="1"/>
  <c r="H48" i="1" s="1"/>
  <c r="I15" i="1"/>
  <c r="I44" i="1" s="1"/>
  <c r="I47" i="1" s="1"/>
  <c r="I48" i="1" s="1"/>
  <c r="J47" i="1"/>
  <c r="J48" i="1" s="1"/>
  <c r="M47" i="1"/>
  <c r="M48" i="1" s="1"/>
</calcChain>
</file>

<file path=xl/sharedStrings.xml><?xml version="1.0" encoding="utf-8"?>
<sst xmlns="http://schemas.openxmlformats.org/spreadsheetml/2006/main" count="99" uniqueCount="49">
  <si>
    <t xml:space="preserve">VALOR NUTRICIONAL </t>
  </si>
  <si>
    <t>Creme de Ervilhas</t>
  </si>
  <si>
    <t>Nome do alimento</t>
  </si>
  <si>
    <t>Energia</t>
  </si>
  <si>
    <t>Lípidos</t>
  </si>
  <si>
    <t xml:space="preserve">Proteínas
[g]
</t>
  </si>
  <si>
    <t>Hidratos de carbono</t>
  </si>
  <si>
    <t>Açúcares</t>
  </si>
  <si>
    <t>Alergénicos</t>
  </si>
  <si>
    <t xml:space="preserve">[kcal] </t>
  </si>
  <si>
    <t xml:space="preserve">[kJ] </t>
  </si>
  <si>
    <t>[g]</t>
  </si>
  <si>
    <t xml:space="preserve">[g] </t>
  </si>
  <si>
    <t>Coentros crus</t>
  </si>
  <si>
    <t>Não contém</t>
  </si>
  <si>
    <t>Alho cru</t>
  </si>
  <si>
    <t>Alho-francês cru</t>
  </si>
  <si>
    <t>Batata crua</t>
  </si>
  <si>
    <t>Ervilhas, vagens cruas</t>
  </si>
  <si>
    <t>Azeite (4 marcas)</t>
  </si>
  <si>
    <t>Hortelã fresca</t>
  </si>
  <si>
    <t>Proteínas</t>
  </si>
  <si>
    <t>Lasanha de legumes grelhados</t>
  </si>
  <si>
    <t>Beringela</t>
  </si>
  <si>
    <t>Curgete</t>
  </si>
  <si>
    <t>Abóbora</t>
  </si>
  <si>
    <t>Pimento</t>
  </si>
  <si>
    <t>Tomate</t>
  </si>
  <si>
    <t>Cebola</t>
  </si>
  <si>
    <t>Alho-francês</t>
  </si>
  <si>
    <t>Leite Creme Vegan</t>
  </si>
  <si>
    <t>Proteínas
[g]</t>
  </si>
  <si>
    <t>Bebida de aveia</t>
  </si>
  <si>
    <t>Limão</t>
  </si>
  <si>
    <t>Curcuma</t>
  </si>
  <si>
    <t>Canela moída</t>
  </si>
  <si>
    <t>Xarope de Acer</t>
  </si>
  <si>
    <t>Amido milho</t>
  </si>
  <si>
    <t>Açúcar demerara</t>
  </si>
  <si>
    <t>Sopa 2 pax</t>
  </si>
  <si>
    <t>Prato Principal 2 pax</t>
  </si>
  <si>
    <t>Sobremesa 2 pax</t>
  </si>
  <si>
    <t>Total por 2 pax</t>
  </si>
  <si>
    <t>Total por 1 pax</t>
  </si>
  <si>
    <t>Bebida de Aveia</t>
  </si>
  <si>
    <t xml:space="preserve">Azeite </t>
  </si>
  <si>
    <t>Amido de milho</t>
  </si>
  <si>
    <t>Eco-Ementa 2023</t>
  </si>
  <si>
    <t>2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</si>
</sst>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1" fillId="0" borderId="1" xfId="0" applyFont="1" applyBorder="1"/>
    <xf numFmtId="2" fontId="0" fillId="0" borderId="1" xfId="0" applyNumberFormat="1" applyBorder="1"/>
    <xf numFmtId="2" fontId="1" fillId="0" borderId="1" xfId="0" applyNumberFormat="1" applyFont="1" applyBorder="1"/>
    <xf numFmtId="0" fontId="0" fillId="4" borderId="0" xfId="0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5" borderId="1" xfId="0" applyFill="1" applyBorder="1"/>
    <xf numFmtId="2" fontId="0" fillId="5" borderId="1" xfId="0" applyNumberFormat="1" applyFill="1" applyBorder="1"/>
    <xf numFmtId="0" fontId="0" fillId="4" borderId="1" xfId="0" applyFill="1" applyBorder="1"/>
    <xf numFmtId="2" fontId="0" fillId="4" borderId="1" xfId="0" applyNumberFormat="1" applyFill="1" applyBorder="1"/>
    <xf numFmtId="0" fontId="1" fillId="5" borderId="1" xfId="0" applyFont="1" applyFill="1" applyBorder="1"/>
    <xf numFmtId="2" fontId="1" fillId="5" borderId="1" xfId="0" applyNumberFormat="1" applyFont="1" applyFill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0DC43-7B4D-4E65-865D-0C132FE9F646}">
  <sheetPr>
    <tabColor theme="5" tint="-0.249977111117893"/>
  </sheetPr>
  <dimension ref="A3:O48"/>
  <sheetViews>
    <sheetView showGridLines="0" tabSelected="1" topLeftCell="A30" workbookViewId="0">
      <selection activeCell="D35" sqref="D35"/>
    </sheetView>
  </sheetViews>
  <sheetFormatPr defaultRowHeight="15" x14ac:dyDescent="0.25"/>
  <cols>
    <col min="1" max="1" width="15.140625" customWidth="1"/>
    <col min="7" max="7" width="20.42578125" customWidth="1"/>
    <col min="8" max="8" width="13.42578125" customWidth="1"/>
    <col min="9" max="9" width="11.28515625" customWidth="1"/>
    <col min="11" max="11" width="12.5703125" customWidth="1"/>
    <col min="12" max="12" width="19.140625" customWidth="1"/>
    <col min="14" max="14" width="16.85546875" customWidth="1"/>
  </cols>
  <sheetData>
    <row r="3" spans="1:15" ht="38.25" customHeight="1" x14ac:dyDescent="0.25">
      <c r="G3" s="2" t="s">
        <v>0</v>
      </c>
      <c r="H3" s="2"/>
      <c r="I3" s="2"/>
      <c r="J3" s="2"/>
      <c r="K3" s="2"/>
      <c r="L3" s="2"/>
      <c r="M3" s="2"/>
      <c r="N3" s="2"/>
      <c r="O3" s="2"/>
    </row>
    <row r="5" spans="1:15" ht="15.75" thickBot="1" x14ac:dyDescent="0.3"/>
    <row r="6" spans="1:15" ht="15.75" customHeight="1" thickBot="1" x14ac:dyDescent="0.3">
      <c r="D6" s="1" t="s">
        <v>1</v>
      </c>
      <c r="E6" s="1"/>
      <c r="G6" s="9" t="s">
        <v>2</v>
      </c>
      <c r="H6" s="15" t="s">
        <v>3</v>
      </c>
      <c r="I6" s="15" t="s">
        <v>3</v>
      </c>
      <c r="J6" s="9" t="s">
        <v>4</v>
      </c>
      <c r="K6" s="10" t="s">
        <v>5</v>
      </c>
      <c r="L6" s="9" t="s">
        <v>6</v>
      </c>
      <c r="M6" s="9" t="s">
        <v>7</v>
      </c>
      <c r="N6" s="11" t="s">
        <v>8</v>
      </c>
    </row>
    <row r="7" spans="1:15" ht="15.75" thickBot="1" x14ac:dyDescent="0.3">
      <c r="A7" s="8"/>
      <c r="B7" s="8"/>
      <c r="G7" s="12"/>
      <c r="H7" s="15" t="s">
        <v>9</v>
      </c>
      <c r="I7" s="15" t="s">
        <v>10</v>
      </c>
      <c r="J7" s="12"/>
      <c r="K7" s="14"/>
      <c r="L7" s="12"/>
      <c r="M7" s="12"/>
      <c r="N7" s="13"/>
    </row>
    <row r="8" spans="1:15" ht="15.75" thickBot="1" x14ac:dyDescent="0.3">
      <c r="A8" s="8"/>
      <c r="B8" s="8"/>
      <c r="G8" s="4" t="s">
        <v>13</v>
      </c>
      <c r="H8" s="4">
        <f>28/2</f>
        <v>14</v>
      </c>
      <c r="I8" s="4">
        <f>117/2</f>
        <v>58.5</v>
      </c>
      <c r="J8" s="4">
        <f>0.6/2</f>
        <v>0.3</v>
      </c>
      <c r="K8" s="4">
        <f>2.4/2</f>
        <v>1.2</v>
      </c>
      <c r="L8" s="4">
        <f>1.8/2</f>
        <v>0.9</v>
      </c>
      <c r="M8" s="4">
        <f>1.5/2</f>
        <v>0.75</v>
      </c>
      <c r="N8" s="4" t="s">
        <v>14</v>
      </c>
    </row>
    <row r="9" spans="1:15" ht="15.75" thickBot="1" x14ac:dyDescent="0.3">
      <c r="A9" s="8"/>
      <c r="B9" s="8"/>
      <c r="D9" s="23" t="s">
        <v>48</v>
      </c>
      <c r="G9" s="3" t="s">
        <v>15</v>
      </c>
      <c r="H9" s="3">
        <f>72*0.03</f>
        <v>2.16</v>
      </c>
      <c r="I9" s="3">
        <f>303*0.03</f>
        <v>9.09</v>
      </c>
      <c r="J9" s="3">
        <f>0.6*0.03</f>
        <v>1.7999999999999999E-2</v>
      </c>
      <c r="K9" s="3">
        <f>3.8*0.03</f>
        <v>0.11399999999999999</v>
      </c>
      <c r="L9" s="3">
        <f>11.3*0.03</f>
        <v>0.33900000000000002</v>
      </c>
      <c r="M9" s="3">
        <f>1.3*0.03</f>
        <v>3.9E-2</v>
      </c>
      <c r="N9" s="3" t="s">
        <v>14</v>
      </c>
    </row>
    <row r="10" spans="1:15" ht="15.75" thickBot="1" x14ac:dyDescent="0.3">
      <c r="A10" s="8"/>
      <c r="B10" s="8"/>
      <c r="G10" s="4" t="s">
        <v>16</v>
      </c>
      <c r="H10" s="4">
        <f>26</f>
        <v>26</v>
      </c>
      <c r="I10" s="4">
        <f>110</f>
        <v>110</v>
      </c>
      <c r="J10" s="4">
        <f>0.3</f>
        <v>0.3</v>
      </c>
      <c r="K10" s="4">
        <f>1.8</f>
        <v>1.8</v>
      </c>
      <c r="L10" s="4">
        <f>2.9</f>
        <v>2.9</v>
      </c>
      <c r="M10" s="4">
        <f>2.21</f>
        <v>2.21</v>
      </c>
      <c r="N10" s="4" t="s">
        <v>14</v>
      </c>
    </row>
    <row r="11" spans="1:15" ht="15.75" thickBot="1" x14ac:dyDescent="0.3">
      <c r="A11" s="8"/>
      <c r="B11" s="8"/>
      <c r="G11" s="3" t="s">
        <v>17</v>
      </c>
      <c r="H11" s="3">
        <f>90*0.015</f>
        <v>1.3499999999999999</v>
      </c>
      <c r="I11" s="3">
        <f>382*0.015</f>
        <v>5.7299999999999995</v>
      </c>
      <c r="J11" s="3">
        <v>0</v>
      </c>
      <c r="K11" s="3">
        <f>2.5*0.015</f>
        <v>3.7499999999999999E-2</v>
      </c>
      <c r="L11" s="3">
        <f>19.2*0.015</f>
        <v>0.28799999999999998</v>
      </c>
      <c r="M11" s="3">
        <f>1.2*0.015</f>
        <v>1.7999999999999999E-2</v>
      </c>
      <c r="N11" s="3" t="s">
        <v>14</v>
      </c>
    </row>
    <row r="12" spans="1:15" ht="15.75" thickBot="1" x14ac:dyDescent="0.3">
      <c r="A12" s="8"/>
      <c r="B12" s="8"/>
      <c r="G12" s="4" t="s">
        <v>18</v>
      </c>
      <c r="H12" s="4">
        <f>33/4</f>
        <v>8.25</v>
      </c>
      <c r="I12" s="4">
        <f>138/4</f>
        <v>34.5</v>
      </c>
      <c r="J12" s="4">
        <f>0.2/4</f>
        <v>0.05</v>
      </c>
      <c r="K12" s="4">
        <f>3.1/4</f>
        <v>0.77500000000000002</v>
      </c>
      <c r="L12" s="4">
        <f>3.9/4</f>
        <v>0.97499999999999998</v>
      </c>
      <c r="M12" s="4">
        <f>2.9/4</f>
        <v>0.72499999999999998</v>
      </c>
      <c r="N12" s="4" t="s">
        <v>14</v>
      </c>
    </row>
    <row r="13" spans="1:15" ht="15.75" thickBot="1" x14ac:dyDescent="0.3">
      <c r="A13" s="8"/>
      <c r="B13" s="8"/>
      <c r="G13" s="3" t="s">
        <v>19</v>
      </c>
      <c r="H13" s="3">
        <f>899*0.08</f>
        <v>71.92</v>
      </c>
      <c r="I13" s="3">
        <f>3700*0.08</f>
        <v>296</v>
      </c>
      <c r="J13" s="3">
        <f>99.9*0.08</f>
        <v>7.9920000000000009</v>
      </c>
      <c r="K13" s="3">
        <v>0</v>
      </c>
      <c r="L13" s="3">
        <v>0</v>
      </c>
      <c r="M13" s="3">
        <v>0</v>
      </c>
      <c r="N13" s="3" t="s">
        <v>14</v>
      </c>
    </row>
    <row r="14" spans="1:15" ht="15.75" thickBot="1" x14ac:dyDescent="0.3">
      <c r="G14" s="4" t="s">
        <v>20</v>
      </c>
      <c r="H14" s="4">
        <f>51/2</f>
        <v>25.5</v>
      </c>
      <c r="I14" s="4">
        <f>212/2</f>
        <v>106</v>
      </c>
      <c r="J14" s="4">
        <f>0.7/2</f>
        <v>0.35</v>
      </c>
      <c r="K14" s="4">
        <f>3.8/2</f>
        <v>1.9</v>
      </c>
      <c r="L14" s="4">
        <f>5.3/2</f>
        <v>2.65</v>
      </c>
      <c r="M14" s="4">
        <f>5.1/2</f>
        <v>2.5499999999999998</v>
      </c>
      <c r="N14" s="4" t="s">
        <v>14</v>
      </c>
    </row>
    <row r="15" spans="1:15" ht="15.75" thickBot="1" x14ac:dyDescent="0.3">
      <c r="H15" s="5">
        <f t="shared" ref="H15:M15" si="0">SUM(H8:H14)</f>
        <v>149.18</v>
      </c>
      <c r="I15" s="5">
        <f t="shared" si="0"/>
        <v>619.81999999999994</v>
      </c>
      <c r="J15" s="5">
        <f t="shared" si="0"/>
        <v>9.01</v>
      </c>
      <c r="K15" s="5">
        <f t="shared" si="0"/>
        <v>5.8264999999999993</v>
      </c>
      <c r="L15" s="5">
        <f t="shared" si="0"/>
        <v>8.0519999999999996</v>
      </c>
      <c r="M15" s="5">
        <f t="shared" si="0"/>
        <v>6.2919999999999998</v>
      </c>
    </row>
    <row r="17" spans="1:14" ht="15.75" thickBot="1" x14ac:dyDescent="0.3"/>
    <row r="18" spans="1:14" ht="15.75" thickBot="1" x14ac:dyDescent="0.3">
      <c r="G18" s="9" t="s">
        <v>2</v>
      </c>
      <c r="H18" s="5" t="s">
        <v>3</v>
      </c>
      <c r="I18" s="5" t="s">
        <v>3</v>
      </c>
      <c r="J18" s="5" t="s">
        <v>4</v>
      </c>
      <c r="K18" s="5" t="s">
        <v>21</v>
      </c>
      <c r="L18" s="5" t="s">
        <v>6</v>
      </c>
      <c r="M18" s="5" t="s">
        <v>7</v>
      </c>
      <c r="N18" s="11" t="s">
        <v>8</v>
      </c>
    </row>
    <row r="19" spans="1:14" ht="15.75" thickBot="1" x14ac:dyDescent="0.3">
      <c r="B19" s="16" t="s">
        <v>22</v>
      </c>
      <c r="C19" s="16"/>
      <c r="D19" s="16"/>
      <c r="G19" s="12"/>
      <c r="H19" s="5" t="s">
        <v>9</v>
      </c>
      <c r="I19" s="5" t="s">
        <v>10</v>
      </c>
      <c r="J19" s="5" t="s">
        <v>11</v>
      </c>
      <c r="K19" s="5"/>
      <c r="L19" s="5" t="s">
        <v>11</v>
      </c>
      <c r="M19" s="5" t="s">
        <v>12</v>
      </c>
      <c r="N19" s="13"/>
    </row>
    <row r="20" spans="1:14" ht="15.75" thickBot="1" x14ac:dyDescent="0.3">
      <c r="G20" s="17" t="s">
        <v>23</v>
      </c>
      <c r="H20" s="18">
        <f>21*2.5</f>
        <v>52.5</v>
      </c>
      <c r="I20" s="18">
        <f>90*2.5</f>
        <v>225</v>
      </c>
      <c r="J20" s="18">
        <f>0.2*2.5</f>
        <v>0.5</v>
      </c>
      <c r="K20" s="18">
        <f>1.1*2.5</f>
        <v>2.75</v>
      </c>
      <c r="L20" s="18">
        <f>2.4*2.5</f>
        <v>6</v>
      </c>
      <c r="M20" s="18">
        <f>2.2*2.5</f>
        <v>5.5</v>
      </c>
      <c r="N20" s="17" t="s">
        <v>14</v>
      </c>
    </row>
    <row r="21" spans="1:14" ht="15.75" thickBot="1" x14ac:dyDescent="0.3">
      <c r="A21" s="8"/>
      <c r="B21" s="8"/>
      <c r="G21" s="19" t="s">
        <v>24</v>
      </c>
      <c r="H21" s="20">
        <f>19*2.5</f>
        <v>47.5</v>
      </c>
      <c r="I21" s="20">
        <f>80*2.5</f>
        <v>200</v>
      </c>
      <c r="J21" s="20">
        <f>0.3*2.5</f>
        <v>0.75</v>
      </c>
      <c r="K21" s="20">
        <f>1.1*2.5</f>
        <v>2.75</v>
      </c>
      <c r="L21" s="20">
        <f>2*2.5</f>
        <v>5</v>
      </c>
      <c r="M21" s="20">
        <f>1.9*2.5</f>
        <v>4.75</v>
      </c>
      <c r="N21" s="19" t="s">
        <v>14</v>
      </c>
    </row>
    <row r="22" spans="1:14" ht="15.75" thickBot="1" x14ac:dyDescent="0.3">
      <c r="A22" s="8"/>
      <c r="B22" s="23" t="s">
        <v>48</v>
      </c>
      <c r="G22" s="17" t="s">
        <v>25</v>
      </c>
      <c r="H22" s="18">
        <f>11*2.5</f>
        <v>27.5</v>
      </c>
      <c r="I22" s="18">
        <f>47*2.5</f>
        <v>117.5</v>
      </c>
      <c r="J22" s="18">
        <f>0.2*2.5</f>
        <v>0.5</v>
      </c>
      <c r="K22" s="18">
        <f>1.6*2.5</f>
        <v>4</v>
      </c>
      <c r="L22" s="18">
        <f>1.7*2.5</f>
        <v>4.25</v>
      </c>
      <c r="M22" s="18">
        <f>1.4*2.5</f>
        <v>3.5</v>
      </c>
      <c r="N22" s="17" t="s">
        <v>14</v>
      </c>
    </row>
    <row r="23" spans="1:14" ht="15.75" thickBot="1" x14ac:dyDescent="0.3">
      <c r="A23" s="8"/>
      <c r="B23" s="8"/>
      <c r="G23" s="19" t="s">
        <v>26</v>
      </c>
      <c r="H23" s="20">
        <f>27*1.5</f>
        <v>40.5</v>
      </c>
      <c r="I23" s="20">
        <f>111*1.5</f>
        <v>166.5</v>
      </c>
      <c r="J23" s="20">
        <f>0.6*1.5</f>
        <v>0.89999999999999991</v>
      </c>
      <c r="K23" s="20">
        <f>0.3*1.5</f>
        <v>0.44999999999999996</v>
      </c>
      <c r="L23" s="20">
        <f>2.7*1.5</f>
        <v>4.0500000000000007</v>
      </c>
      <c r="M23" s="20">
        <f>2.5*1.5</f>
        <v>3.75</v>
      </c>
      <c r="N23" s="19" t="s">
        <v>14</v>
      </c>
    </row>
    <row r="24" spans="1:14" ht="15.75" thickBot="1" x14ac:dyDescent="0.3">
      <c r="A24" s="8"/>
      <c r="B24" s="8"/>
      <c r="G24" s="17" t="s">
        <v>27</v>
      </c>
      <c r="H24" s="18">
        <f>23*2</f>
        <v>46</v>
      </c>
      <c r="I24" s="18">
        <f>95*2</f>
        <v>190</v>
      </c>
      <c r="J24" s="18">
        <f>0.3*2</f>
        <v>0.6</v>
      </c>
      <c r="K24" s="18">
        <f>1.6*2</f>
        <v>3.2</v>
      </c>
      <c r="L24" s="18">
        <f>3.5*2</f>
        <v>7</v>
      </c>
      <c r="M24" s="18">
        <f>3.5*2</f>
        <v>7</v>
      </c>
      <c r="N24" s="17" t="s">
        <v>14</v>
      </c>
    </row>
    <row r="25" spans="1:14" ht="15.75" thickBot="1" x14ac:dyDescent="0.3">
      <c r="A25" s="8"/>
      <c r="B25" s="8"/>
      <c r="G25" s="19" t="s">
        <v>28</v>
      </c>
      <c r="H25" s="20">
        <f>20*1.5</f>
        <v>30</v>
      </c>
      <c r="I25" s="20">
        <f>86*1.5</f>
        <v>129</v>
      </c>
      <c r="J25" s="20">
        <f>0.2*1.5</f>
        <v>0.30000000000000004</v>
      </c>
      <c r="K25" s="20">
        <f>0.9*1.5</f>
        <v>1.35</v>
      </c>
      <c r="L25" s="20">
        <f>3.1*1.5</f>
        <v>4.6500000000000004</v>
      </c>
      <c r="M25" s="20">
        <f>2.2*1.5</f>
        <v>3.3000000000000003</v>
      </c>
      <c r="N25" s="19" t="s">
        <v>14</v>
      </c>
    </row>
    <row r="26" spans="1:14" ht="15.75" thickBot="1" x14ac:dyDescent="0.3">
      <c r="A26" s="8"/>
      <c r="B26" s="8"/>
      <c r="G26" s="17" t="s">
        <v>29</v>
      </c>
      <c r="H26" s="18">
        <f>26</f>
        <v>26</v>
      </c>
      <c r="I26" s="18">
        <f>110</f>
        <v>110</v>
      </c>
      <c r="J26" s="18">
        <f>0.3</f>
        <v>0.3</v>
      </c>
      <c r="K26" s="18">
        <f>0.6</f>
        <v>0.6</v>
      </c>
      <c r="L26" s="18">
        <f>2.9</f>
        <v>2.9</v>
      </c>
      <c r="M26" s="18">
        <f>2.2</f>
        <v>2.2000000000000002</v>
      </c>
      <c r="N26" s="17" t="s">
        <v>14</v>
      </c>
    </row>
    <row r="27" spans="1:14" ht="15.75" thickBot="1" x14ac:dyDescent="0.3">
      <c r="A27" s="8"/>
      <c r="B27" s="8"/>
      <c r="G27" s="19" t="s">
        <v>45</v>
      </c>
      <c r="H27" s="20">
        <f>899*0.05</f>
        <v>44.95</v>
      </c>
      <c r="I27" s="20">
        <f>3700*0.05</f>
        <v>185</v>
      </c>
      <c r="J27" s="20">
        <f>99.9/2</f>
        <v>49.95</v>
      </c>
      <c r="K27" s="20">
        <f>1.8/2</f>
        <v>0.9</v>
      </c>
      <c r="L27" s="20">
        <v>0</v>
      </c>
      <c r="M27" s="20">
        <v>0</v>
      </c>
      <c r="N27" s="19" t="s">
        <v>14</v>
      </c>
    </row>
    <row r="28" spans="1:14" ht="15.75" thickBot="1" x14ac:dyDescent="0.3">
      <c r="A28" s="8"/>
      <c r="B28" s="8"/>
      <c r="G28" s="17" t="s">
        <v>13</v>
      </c>
      <c r="H28" s="18">
        <f>28/2</f>
        <v>14</v>
      </c>
      <c r="I28" s="18">
        <f>117/2</f>
        <v>58.5</v>
      </c>
      <c r="J28" s="18">
        <f>0.6/2</f>
        <v>0.3</v>
      </c>
      <c r="K28" s="18">
        <v>0</v>
      </c>
      <c r="L28" s="18">
        <f>1.8/2</f>
        <v>0.9</v>
      </c>
      <c r="M28" s="18">
        <f>1.5/2</f>
        <v>0.75</v>
      </c>
      <c r="N28" s="17" t="s">
        <v>14</v>
      </c>
    </row>
    <row r="29" spans="1:14" ht="15.75" thickBot="1" x14ac:dyDescent="0.3">
      <c r="A29" s="8"/>
      <c r="B29" s="8"/>
      <c r="G29" s="19" t="s">
        <v>44</v>
      </c>
      <c r="H29" s="20">
        <f>61*3</f>
        <v>183</v>
      </c>
      <c r="I29" s="20">
        <f>257*3</f>
        <v>771</v>
      </c>
      <c r="J29" s="20">
        <f>2.2*3</f>
        <v>6.6000000000000005</v>
      </c>
      <c r="K29" s="20">
        <f>2.4*3</f>
        <v>7.1999999999999993</v>
      </c>
      <c r="L29" s="20">
        <f>6.4*3</f>
        <v>19.200000000000003</v>
      </c>
      <c r="M29" s="20">
        <f>6.1*0.3</f>
        <v>1.8299999999999998</v>
      </c>
      <c r="N29" s="19" t="s">
        <v>14</v>
      </c>
    </row>
    <row r="30" spans="1:14" ht="15.75" thickBot="1" x14ac:dyDescent="0.3">
      <c r="A30" s="8"/>
      <c r="B30" s="8"/>
      <c r="G30" s="17" t="s">
        <v>46</v>
      </c>
      <c r="H30" s="18">
        <f>364/2</f>
        <v>182</v>
      </c>
      <c r="I30" s="18">
        <f>1550/2</f>
        <v>775</v>
      </c>
      <c r="J30" s="18">
        <f>0.2/2</f>
        <v>0.1</v>
      </c>
      <c r="K30" s="18">
        <f>3.8/2</f>
        <v>1.9</v>
      </c>
      <c r="L30" s="18">
        <f>90.2/2</f>
        <v>45.1</v>
      </c>
      <c r="M30" s="18">
        <v>0</v>
      </c>
      <c r="N30" s="17" t="s">
        <v>14</v>
      </c>
    </row>
    <row r="31" spans="1:14" ht="15.75" thickBot="1" x14ac:dyDescent="0.3">
      <c r="A31" s="8"/>
      <c r="B31" s="8"/>
      <c r="H31" s="7">
        <f>SUM(H20:H30)</f>
        <v>693.95</v>
      </c>
      <c r="I31" s="7">
        <f t="shared" ref="I31:M31" si="1">SUM(I20:I30)</f>
        <v>2927.5</v>
      </c>
      <c r="J31" s="7">
        <f t="shared" si="1"/>
        <v>60.800000000000004</v>
      </c>
      <c r="K31" s="7">
        <f t="shared" si="1"/>
        <v>25.099999999999994</v>
      </c>
      <c r="L31" s="7">
        <f t="shared" si="1"/>
        <v>99.050000000000011</v>
      </c>
      <c r="M31" s="7">
        <f t="shared" si="1"/>
        <v>32.58</v>
      </c>
    </row>
    <row r="32" spans="1:14" ht="15.75" thickBot="1" x14ac:dyDescent="0.3"/>
    <row r="33" spans="4:14" ht="15.75" thickBot="1" x14ac:dyDescent="0.3">
      <c r="D33" s="16" t="s">
        <v>30</v>
      </c>
      <c r="E33" s="16"/>
      <c r="G33" s="9" t="s">
        <v>2</v>
      </c>
      <c r="H33" s="5" t="s">
        <v>3</v>
      </c>
      <c r="I33" s="5" t="s">
        <v>3</v>
      </c>
      <c r="J33" s="5" t="s">
        <v>4</v>
      </c>
      <c r="K33" s="5" t="s">
        <v>31</v>
      </c>
      <c r="L33" s="5" t="s">
        <v>6</v>
      </c>
      <c r="M33" s="5" t="s">
        <v>7</v>
      </c>
      <c r="N33" s="9" t="s">
        <v>8</v>
      </c>
    </row>
    <row r="34" spans="4:14" ht="15.75" thickBot="1" x14ac:dyDescent="0.3">
      <c r="G34" s="12"/>
      <c r="H34" s="5" t="s">
        <v>9</v>
      </c>
      <c r="I34" s="5" t="s">
        <v>10</v>
      </c>
      <c r="J34" s="5" t="s">
        <v>11</v>
      </c>
      <c r="K34" s="5"/>
      <c r="L34" s="5" t="s">
        <v>11</v>
      </c>
      <c r="M34" s="5" t="s">
        <v>12</v>
      </c>
      <c r="N34" s="12"/>
    </row>
    <row r="35" spans="4:14" ht="15.75" thickBot="1" x14ac:dyDescent="0.3">
      <c r="D35" s="23" t="s">
        <v>48</v>
      </c>
      <c r="G35" s="17" t="s">
        <v>32</v>
      </c>
      <c r="H35" s="18">
        <f>37*2</f>
        <v>74</v>
      </c>
      <c r="I35" s="18">
        <f>154*2</f>
        <v>308</v>
      </c>
      <c r="J35" s="18">
        <f>2.2*2</f>
        <v>4.4000000000000004</v>
      </c>
      <c r="K35" s="18">
        <f>3.8*2</f>
        <v>7.6</v>
      </c>
      <c r="L35" s="18">
        <f>0.4*2</f>
        <v>0.8</v>
      </c>
      <c r="M35" s="18">
        <f>0.2*2</f>
        <v>0.4</v>
      </c>
      <c r="N35" s="17" t="s">
        <v>14</v>
      </c>
    </row>
    <row r="36" spans="4:14" ht="15.75" thickBot="1" x14ac:dyDescent="0.3">
      <c r="G36" s="3" t="s">
        <v>33</v>
      </c>
      <c r="H36" s="6">
        <f>31*0.08</f>
        <v>2.48</v>
      </c>
      <c r="I36" s="6">
        <f>130*0.08</f>
        <v>10.4</v>
      </c>
      <c r="J36" s="6">
        <f>0.3*0.08</f>
        <v>2.4E-2</v>
      </c>
      <c r="K36" s="6">
        <f>3.7*0.08</f>
        <v>0.29600000000000004</v>
      </c>
      <c r="L36" s="6">
        <f>1.9*0.08</f>
        <v>0.152</v>
      </c>
      <c r="M36" s="6">
        <f>1.9*0.08</f>
        <v>0.152</v>
      </c>
      <c r="N36" s="3" t="s">
        <v>14</v>
      </c>
    </row>
    <row r="37" spans="4:14" ht="15.75" thickBot="1" x14ac:dyDescent="0.3">
      <c r="G37" s="17" t="s">
        <v>34</v>
      </c>
      <c r="H37" s="18">
        <f>312*0.015</f>
        <v>4.68</v>
      </c>
      <c r="I37" s="18">
        <f>1300*0.015</f>
        <v>19.5</v>
      </c>
      <c r="J37" s="18">
        <f>7*0.015</f>
        <v>0.105</v>
      </c>
      <c r="K37" s="18">
        <f>0.5*0.015</f>
        <v>7.4999999999999997E-3</v>
      </c>
      <c r="L37" s="18">
        <f>44.1*0.015</f>
        <v>0.66149999999999998</v>
      </c>
      <c r="M37" s="18">
        <f>44.1*0.015</f>
        <v>0.66149999999999998</v>
      </c>
      <c r="N37" s="17" t="s">
        <v>14</v>
      </c>
    </row>
    <row r="38" spans="4:14" ht="15.75" thickBot="1" x14ac:dyDescent="0.3">
      <c r="G38" s="3" t="s">
        <v>35</v>
      </c>
      <c r="H38" s="6">
        <f>315*0.015</f>
        <v>4.7249999999999996</v>
      </c>
      <c r="I38" s="6">
        <f>1320*0.015</f>
        <v>19.8</v>
      </c>
      <c r="J38" s="6">
        <f>3.2*0.015</f>
        <v>4.8000000000000001E-2</v>
      </c>
      <c r="K38" s="6">
        <f>3.9*0.015</f>
        <v>5.8499999999999996E-2</v>
      </c>
      <c r="L38" s="6">
        <f>0.7*0.015</f>
        <v>1.0499999999999999E-2</v>
      </c>
      <c r="M38" s="6">
        <f>55.5*0.015</f>
        <v>0.83250000000000002</v>
      </c>
      <c r="N38" s="3" t="s">
        <v>14</v>
      </c>
    </row>
    <row r="39" spans="4:14" ht="15.75" thickBot="1" x14ac:dyDescent="0.3">
      <c r="G39" s="17" t="s">
        <v>36</v>
      </c>
      <c r="H39" s="18">
        <f>208*1.5</f>
        <v>312</v>
      </c>
      <c r="I39" s="18">
        <f>52*1.5</f>
        <v>78</v>
      </c>
      <c r="J39" s="18">
        <f>0.04*1.5</f>
        <v>0.06</v>
      </c>
      <c r="K39" s="18">
        <f>3.9*1.5</f>
        <v>5.85</v>
      </c>
      <c r="L39" s="18">
        <f>13.42*1.5</f>
        <v>20.13</v>
      </c>
      <c r="M39" s="18">
        <f>11.9*1.5</f>
        <v>17.850000000000001</v>
      </c>
      <c r="N39" s="17" t="s">
        <v>14</v>
      </c>
    </row>
    <row r="40" spans="4:14" ht="15.75" thickBot="1" x14ac:dyDescent="0.3">
      <c r="G40" s="3" t="s">
        <v>37</v>
      </c>
      <c r="H40" s="6">
        <f>364*0.03</f>
        <v>10.92</v>
      </c>
      <c r="I40" s="6">
        <f>1550*0.03</f>
        <v>46.5</v>
      </c>
      <c r="J40" s="6">
        <f>0.2*0.03</f>
        <v>6.0000000000000001E-3</v>
      </c>
      <c r="K40" s="6">
        <v>0</v>
      </c>
      <c r="L40" s="6">
        <f>90.2*0.03</f>
        <v>2.706</v>
      </c>
      <c r="M40" s="6">
        <v>0</v>
      </c>
      <c r="N40" s="3" t="s">
        <v>14</v>
      </c>
    </row>
    <row r="41" spans="4:14" ht="15.75" thickBot="1" x14ac:dyDescent="0.3">
      <c r="G41" s="17" t="s">
        <v>38</v>
      </c>
      <c r="H41" s="18">
        <f>80*0.08</f>
        <v>6.4</v>
      </c>
      <c r="I41" s="18">
        <f>20*0.08</f>
        <v>1.6</v>
      </c>
      <c r="J41" s="18">
        <v>0</v>
      </c>
      <c r="K41" s="18">
        <f>0.4*0.08</f>
        <v>3.2000000000000001E-2</v>
      </c>
      <c r="L41" s="18">
        <f>5*0.08</f>
        <v>0.4</v>
      </c>
      <c r="M41" s="18">
        <f>5*0.08</f>
        <v>0.4</v>
      </c>
      <c r="N41" s="17" t="s">
        <v>14</v>
      </c>
    </row>
    <row r="42" spans="4:14" ht="15.75" thickBot="1" x14ac:dyDescent="0.3">
      <c r="H42" s="7">
        <f>SUM(H35:H41)</f>
        <v>415.20499999999998</v>
      </c>
      <c r="I42" s="7">
        <f t="shared" ref="I42:M42" si="2">SUM(I35:I41)</f>
        <v>483.8</v>
      </c>
      <c r="J42" s="7">
        <f t="shared" si="2"/>
        <v>4.6430000000000007</v>
      </c>
      <c r="K42" s="7">
        <f t="shared" si="2"/>
        <v>13.843999999999999</v>
      </c>
      <c r="L42" s="7">
        <f t="shared" si="2"/>
        <v>24.859999999999996</v>
      </c>
      <c r="M42" s="7">
        <f t="shared" si="2"/>
        <v>20.295999999999999</v>
      </c>
    </row>
    <row r="43" spans="4:14" ht="15.75" thickBot="1" x14ac:dyDescent="0.3"/>
    <row r="44" spans="4:14" ht="15.75" thickBot="1" x14ac:dyDescent="0.3">
      <c r="G44" s="21" t="s">
        <v>39</v>
      </c>
      <c r="H44" s="6">
        <f>H15</f>
        <v>149.18</v>
      </c>
      <c r="I44" s="6">
        <f t="shared" ref="I44:M44" si="3">I15/2</f>
        <v>309.90999999999997</v>
      </c>
      <c r="J44" s="6">
        <f t="shared" si="3"/>
        <v>4.5049999999999999</v>
      </c>
      <c r="K44" s="6">
        <f t="shared" si="3"/>
        <v>2.9132499999999997</v>
      </c>
      <c r="L44" s="6">
        <f t="shared" si="3"/>
        <v>4.0259999999999998</v>
      </c>
      <c r="M44" s="6">
        <f t="shared" si="3"/>
        <v>3.1459999999999999</v>
      </c>
    </row>
    <row r="45" spans="4:14" ht="15.75" thickBot="1" x14ac:dyDescent="0.3">
      <c r="D45" s="16" t="s">
        <v>47</v>
      </c>
      <c r="E45" s="16"/>
      <c r="G45" s="21" t="s">
        <v>40</v>
      </c>
      <c r="H45" s="18">
        <f>H31*2</f>
        <v>1387.9</v>
      </c>
      <c r="I45" s="18">
        <f t="shared" ref="I45:M45" si="4">I29*2</f>
        <v>1542</v>
      </c>
      <c r="J45" s="18">
        <f t="shared" si="4"/>
        <v>13.200000000000001</v>
      </c>
      <c r="K45" s="18">
        <f t="shared" si="4"/>
        <v>14.399999999999999</v>
      </c>
      <c r="L45" s="18">
        <f t="shared" si="4"/>
        <v>38.400000000000006</v>
      </c>
      <c r="M45" s="18">
        <f t="shared" si="4"/>
        <v>3.6599999999999997</v>
      </c>
    </row>
    <row r="46" spans="4:14" ht="15.75" thickBot="1" x14ac:dyDescent="0.3">
      <c r="G46" s="21" t="s">
        <v>41</v>
      </c>
      <c r="H46" s="6">
        <f>H42</f>
        <v>415.20499999999998</v>
      </c>
      <c r="I46" s="6">
        <f t="shared" ref="I46:M46" si="5">I39*2</f>
        <v>156</v>
      </c>
      <c r="J46" s="6">
        <f t="shared" si="5"/>
        <v>0.12</v>
      </c>
      <c r="K46" s="6">
        <f t="shared" si="5"/>
        <v>11.7</v>
      </c>
      <c r="L46" s="6">
        <f t="shared" si="5"/>
        <v>40.26</v>
      </c>
      <c r="M46" s="6">
        <f t="shared" si="5"/>
        <v>35.700000000000003</v>
      </c>
    </row>
    <row r="47" spans="4:14" ht="15.75" thickBot="1" x14ac:dyDescent="0.3">
      <c r="G47" s="21" t="s">
        <v>42</v>
      </c>
      <c r="H47" s="22">
        <f>H44+H45+H46</f>
        <v>1952.2850000000001</v>
      </c>
      <c r="I47" s="22">
        <f t="shared" ref="I47:M47" si="6">I44+I45+I46</f>
        <v>2007.9099999999999</v>
      </c>
      <c r="J47" s="22">
        <f t="shared" si="6"/>
        <v>17.825000000000003</v>
      </c>
      <c r="K47" s="22">
        <f t="shared" si="6"/>
        <v>29.013249999999996</v>
      </c>
      <c r="L47" s="22">
        <f t="shared" si="6"/>
        <v>82.686000000000007</v>
      </c>
      <c r="M47" s="22">
        <f t="shared" si="6"/>
        <v>42.506</v>
      </c>
    </row>
    <row r="48" spans="4:14" ht="15.75" thickBot="1" x14ac:dyDescent="0.3">
      <c r="G48" s="21" t="s">
        <v>43</v>
      </c>
      <c r="H48" s="6">
        <f>H47/2</f>
        <v>976.14250000000004</v>
      </c>
      <c r="I48" s="6">
        <f t="shared" ref="I48:M48" si="7">I47/2</f>
        <v>1003.9549999999999</v>
      </c>
      <c r="J48" s="6">
        <f t="shared" si="7"/>
        <v>8.9125000000000014</v>
      </c>
      <c r="K48" s="6">
        <f t="shared" si="7"/>
        <v>14.506624999999998</v>
      </c>
      <c r="L48" s="6">
        <f t="shared" si="7"/>
        <v>41.343000000000004</v>
      </c>
      <c r="M48" s="6">
        <f t="shared" si="7"/>
        <v>21.253</v>
      </c>
    </row>
  </sheetData>
  <mergeCells count="15">
    <mergeCell ref="D45:E45"/>
    <mergeCell ref="D6:E6"/>
    <mergeCell ref="G18:G19"/>
    <mergeCell ref="N18:N19"/>
    <mergeCell ref="B19:D19"/>
    <mergeCell ref="G33:G34"/>
    <mergeCell ref="N33:N34"/>
    <mergeCell ref="D33:E33"/>
    <mergeCell ref="G3:O3"/>
    <mergeCell ref="K6:K7"/>
    <mergeCell ref="N6:N7"/>
    <mergeCell ref="L6:L7"/>
    <mergeCell ref="M6:M7"/>
    <mergeCell ref="J6:J7"/>
    <mergeCell ref="G6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ValorNutricional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 Pires</dc:creator>
  <cp:keywords>Agrupamento de Escolas Dr.ª Laura Ayres</cp:keywords>
  <cp:lastModifiedBy>Esla</cp:lastModifiedBy>
  <dcterms:created xsi:type="dcterms:W3CDTF">2023-03-11T18:54:48Z</dcterms:created>
  <dcterms:modified xsi:type="dcterms:W3CDTF">2023-03-11T20:51:04Z</dcterms:modified>
</cp:coreProperties>
</file>