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la\Documents\EcoMenus\"/>
    </mc:Choice>
  </mc:AlternateContent>
  <xr:revisionPtr revIDLastSave="0" documentId="13_ncr:1_{40A2124E-B575-4641-A029-F72DAF033AE3}" xr6:coauthVersionLast="47" xr6:coauthVersionMax="47" xr10:uidLastSave="{00000000-0000-0000-0000-000000000000}"/>
  <bookViews>
    <workbookView xWindow="-120" yWindow="-120" windowWidth="20730" windowHeight="11040" xr2:uid="{E82A8D43-E9C2-4966-9444-FE10B30448C5}"/>
  </bookViews>
  <sheets>
    <sheet name="Ficha NutricionalESLA Quartei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2" i="1" l="1"/>
  <c r="N42" i="1"/>
  <c r="M42" i="1"/>
  <c r="L42" i="1"/>
  <c r="K42" i="1"/>
  <c r="J42" i="1"/>
  <c r="O46" i="1" l="1"/>
  <c r="N46" i="1"/>
  <c r="K46" i="1"/>
  <c r="J46" i="1"/>
  <c r="O39" i="1"/>
  <c r="N39" i="1"/>
  <c r="M39" i="1"/>
  <c r="L39" i="1"/>
  <c r="K39" i="1"/>
  <c r="J39" i="1"/>
  <c r="J47" i="1"/>
  <c r="J52" i="1" s="1"/>
  <c r="O43" i="1"/>
  <c r="N43" i="1"/>
  <c r="M43" i="1"/>
  <c r="L43" i="1"/>
  <c r="K43" i="1"/>
  <c r="J43" i="1"/>
  <c r="N47" i="1"/>
  <c r="N52" i="1" s="1"/>
  <c r="O40" i="1"/>
  <c r="N40" i="1"/>
  <c r="M40" i="1"/>
  <c r="L40" i="1"/>
  <c r="K40" i="1"/>
  <c r="J40" i="1"/>
  <c r="M24" i="1"/>
  <c r="L24" i="1"/>
  <c r="K24" i="1"/>
  <c r="J24" i="1"/>
  <c r="O25" i="1"/>
  <c r="N25" i="1"/>
  <c r="M25" i="1"/>
  <c r="L25" i="1"/>
  <c r="K25" i="1"/>
  <c r="J25" i="1"/>
  <c r="O30" i="1"/>
  <c r="N30" i="1"/>
  <c r="M30" i="1"/>
  <c r="J30" i="1"/>
  <c r="K28" i="1"/>
  <c r="L28" i="1"/>
  <c r="J28" i="1"/>
  <c r="K29" i="1"/>
  <c r="O27" i="1"/>
  <c r="N27" i="1"/>
  <c r="M27" i="1"/>
  <c r="L27" i="1"/>
  <c r="K27" i="1"/>
  <c r="J27" i="1"/>
  <c r="O29" i="1"/>
  <c r="N29" i="1"/>
  <c r="M29" i="1"/>
  <c r="L29" i="1"/>
  <c r="J29" i="1"/>
  <c r="O26" i="1"/>
  <c r="N26" i="1"/>
  <c r="M26" i="1"/>
  <c r="L26" i="1"/>
  <c r="K26" i="1"/>
  <c r="J26" i="1"/>
  <c r="O32" i="1"/>
  <c r="N32" i="1"/>
  <c r="M32" i="1"/>
  <c r="K32" i="1"/>
  <c r="J32" i="1"/>
  <c r="L16" i="1"/>
  <c r="K16" i="1"/>
  <c r="J16" i="1"/>
  <c r="K15" i="1"/>
  <c r="J15" i="1"/>
  <c r="O13" i="1"/>
  <c r="M13" i="1"/>
  <c r="N13" i="1"/>
  <c r="O14" i="1"/>
  <c r="N14" i="1"/>
  <c r="M14" i="1"/>
  <c r="L14" i="1"/>
  <c r="K14" i="1"/>
  <c r="J14" i="1"/>
  <c r="O17" i="1"/>
  <c r="N17" i="1"/>
  <c r="M17" i="1"/>
  <c r="K17" i="1"/>
  <c r="J17" i="1"/>
  <c r="O15" i="1"/>
  <c r="N15" i="1"/>
  <c r="M15" i="1"/>
  <c r="J12" i="1"/>
  <c r="L13" i="1"/>
  <c r="K13" i="1"/>
  <c r="J13" i="1"/>
  <c r="O12" i="1"/>
  <c r="N12" i="1"/>
  <c r="M12" i="1"/>
  <c r="K12" i="1"/>
  <c r="L47" i="1" l="1"/>
  <c r="L52" i="1" s="1"/>
  <c r="O47" i="1"/>
  <c r="O52" i="1" s="1"/>
  <c r="M47" i="1"/>
  <c r="M52" i="1" s="1"/>
  <c r="K47" i="1"/>
  <c r="K52" i="1" s="1"/>
  <c r="M19" i="1"/>
  <c r="M50" i="1" s="1"/>
  <c r="L19" i="1"/>
  <c r="L50" i="1" s="1"/>
  <c r="M33" i="1"/>
  <c r="M51" i="1" s="1"/>
  <c r="L33" i="1"/>
  <c r="L51" i="1" s="1"/>
  <c r="J33" i="1"/>
  <c r="J51" i="1" s="1"/>
  <c r="O33" i="1"/>
  <c r="O51" i="1" s="1"/>
  <c r="N33" i="1"/>
  <c r="N51" i="1" s="1"/>
  <c r="K33" i="1"/>
  <c r="K51" i="1" s="1"/>
  <c r="N19" i="1"/>
  <c r="N50" i="1" s="1"/>
  <c r="N53" i="1" s="1"/>
  <c r="N54" i="1" s="1"/>
  <c r="K19" i="1"/>
  <c r="K50" i="1" s="1"/>
  <c r="O19" i="1"/>
  <c r="O50" i="1" s="1"/>
  <c r="J19" i="1"/>
  <c r="J50" i="1" s="1"/>
  <c r="M53" i="1" l="1"/>
  <c r="M54" i="1" s="1"/>
  <c r="K53" i="1"/>
  <c r="K54" i="1" s="1"/>
  <c r="J53" i="1"/>
  <c r="J54" i="1" s="1"/>
  <c r="L53" i="1"/>
  <c r="L54" i="1" s="1"/>
  <c r="O53" i="1"/>
  <c r="O54" i="1" s="1"/>
</calcChain>
</file>

<file path=xl/sharedStrings.xml><?xml version="1.0" encoding="utf-8"?>
<sst xmlns="http://schemas.openxmlformats.org/spreadsheetml/2006/main" count="114" uniqueCount="48">
  <si>
    <t xml:space="preserve">VALOR NUTRICIONAL </t>
  </si>
  <si>
    <t>100g</t>
  </si>
  <si>
    <t>Creme de abóbora assada com laranja</t>
  </si>
  <si>
    <t>Nome do alimento</t>
  </si>
  <si>
    <t>Energia</t>
  </si>
  <si>
    <t>Lípidos</t>
  </si>
  <si>
    <t>Proteínas
[g]</t>
  </si>
  <si>
    <t>Hidratos
 de carbono</t>
  </si>
  <si>
    <t>Açúcares</t>
  </si>
  <si>
    <t>Alergénicos</t>
  </si>
  <si>
    <t xml:space="preserve">[kcal] </t>
  </si>
  <si>
    <t xml:space="preserve">[kJ] </t>
  </si>
  <si>
    <t>[g]</t>
  </si>
  <si>
    <t xml:space="preserve">[g] </t>
  </si>
  <si>
    <t>laranja</t>
  </si>
  <si>
    <t>Não contém</t>
  </si>
  <si>
    <t>abóbora</t>
  </si>
  <si>
    <t>cebola</t>
  </si>
  <si>
    <t>alho</t>
  </si>
  <si>
    <t>batata</t>
  </si>
  <si>
    <t>Azeite</t>
  </si>
  <si>
    <t>coentros</t>
  </si>
  <si>
    <t>sal</t>
  </si>
  <si>
    <t>Galinha cerejada à Loulé</t>
  </si>
  <si>
    <t xml:space="preserve">Proteínas
[g]
</t>
  </si>
  <si>
    <t>Hidratos
de carbono</t>
  </si>
  <si>
    <t xml:space="preserve">    [g]</t>
  </si>
  <si>
    <t>Galinha</t>
  </si>
  <si>
    <t>Arroz</t>
  </si>
  <si>
    <t>cenoura</t>
  </si>
  <si>
    <t>q.b</t>
  </si>
  <si>
    <t>Sopa 2 pax</t>
  </si>
  <si>
    <t>Prato Principal 2 pax</t>
  </si>
  <si>
    <t>Sobremesa 2 pax</t>
  </si>
  <si>
    <t>Total por 2 pax</t>
  </si>
  <si>
    <t>Total por 1 pax</t>
  </si>
  <si>
    <t>q.b.</t>
  </si>
  <si>
    <t>0,6/2</t>
  </si>
  <si>
    <t xml:space="preserve"> [g]</t>
  </si>
  <si>
    <t>Canela</t>
  </si>
  <si>
    <t>Limão</t>
  </si>
  <si>
    <t>Gelado erva principe</t>
  </si>
  <si>
    <t>Ovo</t>
  </si>
  <si>
    <t>Farinha de amêndoa</t>
  </si>
  <si>
    <t>maçã alcobaça</t>
  </si>
  <si>
    <t>Açúcar</t>
  </si>
  <si>
    <t>Bebida de aveia</t>
  </si>
  <si>
    <t>Tarte de maçã desconstruída com gelado de limão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</si>
</sst>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2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FF99"/>
        <bgColor indexed="64"/>
      </patternFill>
    </fill>
  </fills>
  <borders count="8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0" fillId="0" borderId="3" xfId="0" applyBorder="1"/>
    <xf numFmtId="0" fontId="0" fillId="0" borderId="0" xfId="0" applyAlignment="1">
      <alignment horizontal="center"/>
    </xf>
    <xf numFmtId="0" fontId="4" fillId="4" borderId="6" xfId="0" applyFont="1" applyFill="1" applyBorder="1" applyAlignment="1">
      <alignment horizontal="left" vertical="center"/>
    </xf>
    <xf numFmtId="2" fontId="0" fillId="0" borderId="6" xfId="0" applyNumberFormat="1" applyBorder="1" applyAlignment="1">
      <alignment horizontal="center" vertical="center"/>
    </xf>
    <xf numFmtId="0" fontId="2" fillId="3" borderId="6" xfId="0" applyFont="1" applyFill="1" applyBorder="1"/>
    <xf numFmtId="2" fontId="2" fillId="3" borderId="6" xfId="0" applyNumberFormat="1" applyFont="1" applyFill="1" applyBorder="1" applyAlignment="1">
      <alignment horizontal="center"/>
    </xf>
    <xf numFmtId="0" fontId="2" fillId="4" borderId="6" xfId="0" applyFont="1" applyFill="1" applyBorder="1"/>
    <xf numFmtId="2" fontId="0" fillId="4" borderId="6" xfId="0" applyNumberFormat="1" applyFill="1" applyBorder="1"/>
    <xf numFmtId="0" fontId="0" fillId="0" borderId="3" xfId="0" applyBorder="1" applyAlignment="1">
      <alignment horizontal="right"/>
    </xf>
    <xf numFmtId="0" fontId="0" fillId="0" borderId="3" xfId="0" applyFont="1" applyBorder="1" applyAlignment="1">
      <alignment horizontal="right"/>
    </xf>
    <xf numFmtId="164" fontId="0" fillId="0" borderId="5" xfId="0" applyNumberFormat="1" applyFont="1" applyBorder="1" applyAlignment="1">
      <alignment horizontal="right" vertical="top"/>
    </xf>
    <xf numFmtId="0" fontId="0" fillId="6" borderId="3" xfId="0" applyFill="1" applyBorder="1"/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top" wrapText="1"/>
    </xf>
    <xf numFmtId="0" fontId="0" fillId="6" borderId="3" xfId="0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/>
    <xf numFmtId="0" fontId="2" fillId="6" borderId="3" xfId="0" applyFont="1" applyFill="1" applyBorder="1"/>
    <xf numFmtId="0" fontId="1" fillId="0" borderId="3" xfId="0" applyFont="1" applyBorder="1"/>
    <xf numFmtId="164" fontId="3" fillId="0" borderId="0" xfId="0" applyNumberFormat="1" applyFont="1" applyBorder="1" applyAlignment="1">
      <alignment horizontal="left" vertical="top"/>
    </xf>
    <xf numFmtId="0" fontId="0" fillId="0" borderId="0" xfId="0" applyBorder="1"/>
    <xf numFmtId="0" fontId="3" fillId="0" borderId="0" xfId="0" applyFont="1" applyBorder="1" applyAlignment="1">
      <alignment vertical="center" shrinkToFit="1"/>
    </xf>
    <xf numFmtId="0" fontId="0" fillId="6" borderId="3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/>
    </xf>
    <xf numFmtId="0" fontId="0" fillId="0" borderId="3" xfId="0" applyFont="1" applyFill="1" applyBorder="1"/>
    <xf numFmtId="0" fontId="4" fillId="7" borderId="6" xfId="0" applyFont="1" applyFill="1" applyBorder="1" applyAlignment="1">
      <alignment horizontal="left" vertical="center"/>
    </xf>
    <xf numFmtId="164" fontId="0" fillId="7" borderId="3" xfId="0" applyNumberFormat="1" applyFill="1" applyBorder="1"/>
    <xf numFmtId="0" fontId="1" fillId="7" borderId="3" xfId="0" applyFont="1" applyFill="1" applyBorder="1"/>
    <xf numFmtId="164" fontId="5" fillId="5" borderId="0" xfId="0" applyNumberFormat="1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5" borderId="0" xfId="0" applyFont="1" applyFill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5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right"/>
    </xf>
    <xf numFmtId="0" fontId="0" fillId="6" borderId="5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6" borderId="3" xfId="0" applyNumberFormat="1" applyFont="1" applyFill="1" applyBorder="1" applyAlignment="1">
      <alignment horizontal="right"/>
    </xf>
    <xf numFmtId="164" fontId="0" fillId="6" borderId="5" xfId="0" applyNumberFormat="1" applyFont="1" applyFill="1" applyBorder="1" applyAlignment="1">
      <alignment horizontal="right" vertical="top"/>
    </xf>
    <xf numFmtId="0" fontId="1" fillId="0" borderId="3" xfId="0" applyFont="1" applyBorder="1" applyAlignment="1">
      <alignment horizontal="left"/>
    </xf>
    <xf numFmtId="0" fontId="1" fillId="6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557234</xdr:colOff>
      <xdr:row>0</xdr:row>
      <xdr:rowOff>76200</xdr:rowOff>
    </xdr:from>
    <xdr:to>
      <xdr:col>7</xdr:col>
      <xdr:colOff>561976</xdr:colOff>
      <xdr:row>16</xdr:row>
      <xdr:rowOff>8259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F8B1E90-1032-4B40-9F1D-373EE8191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6434" y="76200"/>
          <a:ext cx="3052742" cy="3599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EE3BA-897B-4031-B85F-D3ECE27F34AD}">
  <dimension ref="C5:X54"/>
  <sheetViews>
    <sheetView showGridLines="0" tabSelected="1" workbookViewId="0">
      <selection activeCell="C36" sqref="C36:H36"/>
    </sheetView>
  </sheetViews>
  <sheetFormatPr defaultRowHeight="15" x14ac:dyDescent="0.25"/>
  <cols>
    <col min="9" max="9" width="23" customWidth="1"/>
    <col min="11" max="11" width="11.85546875" customWidth="1"/>
    <col min="12" max="12" width="9.5703125" customWidth="1"/>
    <col min="13" max="13" width="12.42578125" customWidth="1"/>
    <col min="14" max="14" width="10.85546875" customWidth="1"/>
    <col min="15" max="15" width="10.42578125" customWidth="1"/>
    <col min="16" max="16" width="13.5703125" customWidth="1"/>
  </cols>
  <sheetData>
    <row r="5" spans="3:24" x14ac:dyDescent="0.25">
      <c r="H5" s="1"/>
    </row>
    <row r="6" spans="3:24" ht="27.75" x14ac:dyDescent="0.4">
      <c r="H6" s="1"/>
      <c r="I6" s="57" t="s">
        <v>0</v>
      </c>
      <c r="J6" s="57"/>
      <c r="K6" s="57"/>
      <c r="L6" s="57"/>
      <c r="M6" s="57"/>
      <c r="N6" s="57"/>
      <c r="O6" s="57"/>
      <c r="P6" s="57"/>
      <c r="Q6" s="57"/>
    </row>
    <row r="7" spans="3:24" x14ac:dyDescent="0.25">
      <c r="H7" s="1"/>
      <c r="U7" t="s">
        <v>1</v>
      </c>
    </row>
    <row r="8" spans="3:24" ht="15.75" thickBot="1" x14ac:dyDescent="0.3">
      <c r="H8" s="1"/>
    </row>
    <row r="9" spans="3:24" ht="39.75" thickTop="1" thickBot="1" x14ac:dyDescent="0.3">
      <c r="D9" s="56"/>
      <c r="E9" s="56"/>
      <c r="F9" s="56"/>
      <c r="G9" s="56"/>
      <c r="H9" s="2"/>
      <c r="I9" s="15" t="s">
        <v>3</v>
      </c>
      <c r="J9" s="16" t="s">
        <v>4</v>
      </c>
      <c r="K9" s="16" t="s">
        <v>4</v>
      </c>
      <c r="L9" s="16" t="s">
        <v>5</v>
      </c>
      <c r="M9" s="17" t="s">
        <v>6</v>
      </c>
      <c r="N9" s="18" t="s">
        <v>7</v>
      </c>
      <c r="O9" s="16" t="s">
        <v>8</v>
      </c>
      <c r="P9" s="19" t="s">
        <v>9</v>
      </c>
      <c r="Q9" s="40"/>
      <c r="R9" s="41"/>
      <c r="S9" s="41"/>
      <c r="T9" s="42"/>
      <c r="U9" s="43"/>
      <c r="V9" s="41"/>
      <c r="W9" s="44"/>
      <c r="X9" s="32"/>
    </row>
    <row r="10" spans="3:24" ht="16.5" thickTop="1" thickBot="1" x14ac:dyDescent="0.3">
      <c r="I10" s="20"/>
      <c r="J10" s="21" t="s">
        <v>10</v>
      </c>
      <c r="K10" s="21" t="s">
        <v>11</v>
      </c>
      <c r="L10" s="21" t="s">
        <v>12</v>
      </c>
      <c r="M10" s="22"/>
      <c r="N10" s="21" t="s">
        <v>12</v>
      </c>
      <c r="O10" s="21" t="s">
        <v>13</v>
      </c>
      <c r="P10" s="19"/>
      <c r="Q10" s="40"/>
      <c r="R10" s="41"/>
      <c r="S10" s="41"/>
      <c r="T10" s="42"/>
      <c r="U10" s="41"/>
      <c r="V10" s="41"/>
      <c r="W10" s="44"/>
      <c r="X10" s="32"/>
    </row>
    <row r="11" spans="3:24" ht="16.5" thickTop="1" thickBot="1" x14ac:dyDescent="0.3">
      <c r="C11" s="32"/>
      <c r="D11" s="33"/>
      <c r="E11" s="31"/>
      <c r="I11" s="69" t="s">
        <v>14</v>
      </c>
      <c r="J11" s="66">
        <v>48</v>
      </c>
      <c r="K11" s="13">
        <v>201</v>
      </c>
      <c r="L11" s="66">
        <v>2</v>
      </c>
      <c r="M11" s="66">
        <v>1.1000000000000001</v>
      </c>
      <c r="N11" s="13">
        <v>8.9</v>
      </c>
      <c r="O11" s="13">
        <v>8.9</v>
      </c>
      <c r="P11" s="12" t="s">
        <v>15</v>
      </c>
      <c r="Q11" s="38"/>
      <c r="R11" s="39"/>
      <c r="S11" s="39"/>
      <c r="T11" s="39"/>
      <c r="U11" s="39"/>
      <c r="V11" s="39"/>
    </row>
    <row r="12" spans="3:24" ht="16.5" thickTop="1" thickBot="1" x14ac:dyDescent="0.3">
      <c r="C12" s="32"/>
      <c r="D12" s="33"/>
      <c r="E12" s="31"/>
      <c r="I12" s="70" t="s">
        <v>16</v>
      </c>
      <c r="J12" s="67">
        <f>5*55</f>
        <v>275</v>
      </c>
      <c r="K12" s="68">
        <f>235*5</f>
        <v>1175</v>
      </c>
      <c r="L12" s="67">
        <v>5</v>
      </c>
      <c r="M12" s="67">
        <f>5*1.5</f>
        <v>7.5</v>
      </c>
      <c r="N12" s="68">
        <f>5*8.5</f>
        <v>42.5</v>
      </c>
      <c r="O12" s="68">
        <f>5*7</f>
        <v>35</v>
      </c>
      <c r="P12" s="62" t="s">
        <v>15</v>
      </c>
      <c r="Q12" s="38"/>
      <c r="R12" s="39"/>
      <c r="S12" s="39"/>
      <c r="T12" s="39"/>
      <c r="U12" s="39"/>
      <c r="V12" s="39"/>
    </row>
    <row r="13" spans="3:24" ht="16.5" thickTop="1" thickBot="1" x14ac:dyDescent="0.3">
      <c r="C13" s="32"/>
      <c r="D13" s="33"/>
      <c r="E13" s="31"/>
      <c r="I13" s="69" t="s">
        <v>17</v>
      </c>
      <c r="J13" s="66">
        <f>0.8*16</f>
        <v>12.8</v>
      </c>
      <c r="K13" s="13">
        <f>0.8*68.8</f>
        <v>55.04</v>
      </c>
      <c r="L13" s="66">
        <f>0.8*0.16</f>
        <v>0.128</v>
      </c>
      <c r="M13" s="66">
        <f>0.8*0.72</f>
        <v>0.57599999999999996</v>
      </c>
      <c r="N13" s="13">
        <f>0.8*2.48</f>
        <v>1.984</v>
      </c>
      <c r="O13" s="13">
        <f>0.8*1.76</f>
        <v>1.4080000000000001</v>
      </c>
      <c r="P13" s="12" t="s">
        <v>15</v>
      </c>
      <c r="Q13" s="38"/>
      <c r="R13" s="39"/>
      <c r="S13" s="39"/>
      <c r="T13" s="39"/>
      <c r="U13" s="39"/>
      <c r="V13" s="39"/>
    </row>
    <row r="14" spans="3:24" ht="16.5" thickTop="1" thickBot="1" x14ac:dyDescent="0.3">
      <c r="C14" s="32"/>
      <c r="D14" s="33"/>
      <c r="E14" s="31"/>
      <c r="I14" s="70" t="s">
        <v>18</v>
      </c>
      <c r="J14" s="67">
        <f>0.3*72</f>
        <v>21.599999999999998</v>
      </c>
      <c r="K14" s="68">
        <f>0.3*303</f>
        <v>90.899999999999991</v>
      </c>
      <c r="L14" s="67">
        <f>0.3*0.6</f>
        <v>0.18</v>
      </c>
      <c r="M14" s="67">
        <f>0.3*3.8</f>
        <v>1.1399999999999999</v>
      </c>
      <c r="N14" s="68">
        <f>0.3*11.3</f>
        <v>3.39</v>
      </c>
      <c r="O14" s="68">
        <f>0.3*1.3</f>
        <v>0.39</v>
      </c>
      <c r="P14" s="62" t="s">
        <v>15</v>
      </c>
      <c r="Q14" s="38"/>
      <c r="R14" s="39"/>
      <c r="S14" s="39"/>
      <c r="T14" s="39"/>
      <c r="U14" s="39"/>
      <c r="V14" s="39"/>
    </row>
    <row r="15" spans="3:24" ht="16.5" thickTop="1" thickBot="1" x14ac:dyDescent="0.3">
      <c r="C15" s="32"/>
      <c r="D15" s="33"/>
      <c r="E15" s="31"/>
      <c r="I15" s="69" t="s">
        <v>19</v>
      </c>
      <c r="J15" s="66">
        <f>1.5*90</f>
        <v>135</v>
      </c>
      <c r="K15" s="13">
        <f>1.5*382</f>
        <v>573</v>
      </c>
      <c r="L15" s="66">
        <v>0</v>
      </c>
      <c r="M15" s="66">
        <f>1.5*2.5</f>
        <v>3.75</v>
      </c>
      <c r="N15" s="13">
        <f>1.5*19.2</f>
        <v>28.799999999999997</v>
      </c>
      <c r="O15" s="13">
        <f>1.5*1.2</f>
        <v>1.7999999999999998</v>
      </c>
      <c r="P15" s="12" t="s">
        <v>15</v>
      </c>
      <c r="Q15" s="38"/>
      <c r="R15" s="39"/>
      <c r="S15" s="39"/>
      <c r="T15" s="36"/>
      <c r="U15" s="39"/>
      <c r="V15" s="39"/>
    </row>
    <row r="16" spans="3:24" ht="16.5" thickTop="1" thickBot="1" x14ac:dyDescent="0.3">
      <c r="C16" s="32"/>
      <c r="D16" s="33"/>
      <c r="E16" s="31"/>
      <c r="I16" s="70" t="s">
        <v>20</v>
      </c>
      <c r="J16" s="62">
        <f>0.8*899</f>
        <v>719.2</v>
      </c>
      <c r="K16" s="63">
        <f>0.8*3700</f>
        <v>2960</v>
      </c>
      <c r="L16" s="62">
        <f>0.8*99.9</f>
        <v>79.920000000000016</v>
      </c>
      <c r="M16" s="67">
        <v>0</v>
      </c>
      <c r="N16" s="68">
        <v>0</v>
      </c>
      <c r="O16" s="68">
        <v>0</v>
      </c>
      <c r="P16" s="62" t="s">
        <v>15</v>
      </c>
      <c r="Q16" s="38"/>
      <c r="R16" s="39"/>
      <c r="S16" s="39"/>
      <c r="T16" s="36"/>
      <c r="U16" s="36"/>
      <c r="V16" s="36"/>
    </row>
    <row r="17" spans="3:22" ht="16.5" thickTop="1" thickBot="1" x14ac:dyDescent="0.3">
      <c r="C17" s="32"/>
      <c r="D17" s="33"/>
      <c r="E17" s="54" t="s">
        <v>2</v>
      </c>
      <c r="F17" s="54"/>
      <c r="G17" s="54"/>
      <c r="H17" s="55"/>
      <c r="I17" s="69" t="s">
        <v>21</v>
      </c>
      <c r="J17" s="64">
        <f>28/2</f>
        <v>14</v>
      </c>
      <c r="K17" s="64">
        <f>117/2</f>
        <v>58.5</v>
      </c>
      <c r="L17" s="64" t="s">
        <v>37</v>
      </c>
      <c r="M17" s="65">
        <f>2.4/2</f>
        <v>1.2</v>
      </c>
      <c r="N17" s="64">
        <f>1.8/2</f>
        <v>0.9</v>
      </c>
      <c r="O17" s="64">
        <f>1.5/2</f>
        <v>0.75</v>
      </c>
      <c r="P17" s="12" t="s">
        <v>15</v>
      </c>
      <c r="Q17" s="38"/>
      <c r="R17" s="39"/>
      <c r="S17" s="39"/>
      <c r="T17" s="36"/>
      <c r="U17" s="39"/>
      <c r="V17" s="39"/>
    </row>
    <row r="18" spans="3:22" ht="16.5" thickTop="1" thickBot="1" x14ac:dyDescent="0.3">
      <c r="C18" s="32"/>
      <c r="D18" s="32"/>
      <c r="E18" s="32"/>
      <c r="I18" s="70" t="s">
        <v>22</v>
      </c>
      <c r="J18" s="62" t="s">
        <v>36</v>
      </c>
      <c r="K18" s="62" t="s">
        <v>36</v>
      </c>
      <c r="L18" s="62" t="s">
        <v>36</v>
      </c>
      <c r="M18" s="62" t="s">
        <v>36</v>
      </c>
      <c r="N18" s="62" t="s">
        <v>36</v>
      </c>
      <c r="O18" s="62" t="s">
        <v>36</v>
      </c>
      <c r="P18" s="62"/>
      <c r="Q18" s="38"/>
      <c r="R18" s="39"/>
      <c r="S18" s="39"/>
      <c r="T18" s="39"/>
      <c r="U18" s="39"/>
      <c r="V18" s="39"/>
    </row>
    <row r="19" spans="3:22" ht="16.5" thickTop="1" thickBot="1" x14ac:dyDescent="0.3">
      <c r="J19" s="52">
        <f>SUM(J11:J18)</f>
        <v>1225.6000000000001</v>
      </c>
      <c r="K19" s="52">
        <f t="shared" ref="K19:O19" si="0">SUM(K11:K18)</f>
        <v>5113.4400000000005</v>
      </c>
      <c r="L19" s="52">
        <f t="shared" si="0"/>
        <v>87.228000000000009</v>
      </c>
      <c r="M19" s="52">
        <f t="shared" si="0"/>
        <v>15.266</v>
      </c>
      <c r="N19" s="52">
        <f t="shared" si="0"/>
        <v>86.474000000000004</v>
      </c>
      <c r="O19" s="52">
        <f t="shared" si="0"/>
        <v>48.247999999999998</v>
      </c>
    </row>
    <row r="20" spans="3:22" ht="15.75" thickTop="1" x14ac:dyDescent="0.25"/>
    <row r="21" spans="3:22" ht="15.75" thickBot="1" x14ac:dyDescent="0.3"/>
    <row r="22" spans="3:22" ht="39.75" thickTop="1" thickBot="1" x14ac:dyDescent="0.3">
      <c r="D22" s="58" t="s">
        <v>23</v>
      </c>
      <c r="E22" s="58"/>
      <c r="F22" s="58"/>
      <c r="G22" s="58"/>
      <c r="H22" s="59"/>
      <c r="I22" s="24" t="s">
        <v>3</v>
      </c>
      <c r="J22" s="25" t="s">
        <v>4</v>
      </c>
      <c r="K22" s="25" t="s">
        <v>4</v>
      </c>
      <c r="L22" s="25" t="s">
        <v>5</v>
      </c>
      <c r="M22" s="25" t="s">
        <v>24</v>
      </c>
      <c r="N22" s="26" t="s">
        <v>25</v>
      </c>
      <c r="O22" s="25" t="s">
        <v>8</v>
      </c>
      <c r="P22" s="24" t="s">
        <v>9</v>
      </c>
    </row>
    <row r="23" spans="3:22" ht="16.5" thickTop="1" thickBot="1" x14ac:dyDescent="0.3">
      <c r="I23" s="27"/>
      <c r="J23" s="28" t="s">
        <v>10</v>
      </c>
      <c r="K23" s="28" t="s">
        <v>11</v>
      </c>
      <c r="L23" s="29" t="s">
        <v>26</v>
      </c>
      <c r="M23" s="28"/>
      <c r="N23" s="45" t="s">
        <v>38</v>
      </c>
      <c r="O23" s="25" t="s">
        <v>13</v>
      </c>
      <c r="P23" s="27"/>
    </row>
    <row r="24" spans="3:22" ht="16.5" thickTop="1" thickBot="1" x14ac:dyDescent="0.3">
      <c r="C24" s="1"/>
      <c r="D24" s="1"/>
      <c r="E24" s="1"/>
      <c r="F24" s="1"/>
      <c r="I24" s="28" t="s">
        <v>27</v>
      </c>
      <c r="J24" s="34">
        <f>5.5*110</f>
        <v>605</v>
      </c>
      <c r="K24" s="34">
        <f>5.5*463</f>
        <v>2546.5</v>
      </c>
      <c r="L24" s="34">
        <f>5.5*2</f>
        <v>11</v>
      </c>
      <c r="M24" s="34">
        <f>5.5*22.9</f>
        <v>125.94999999999999</v>
      </c>
      <c r="N24" s="34">
        <v>0</v>
      </c>
      <c r="O24" s="34">
        <v>0</v>
      </c>
      <c r="P24" s="23" t="s">
        <v>15</v>
      </c>
    </row>
    <row r="25" spans="3:22" ht="16.5" thickTop="1" thickBot="1" x14ac:dyDescent="0.3">
      <c r="C25" s="1"/>
      <c r="D25" s="1"/>
      <c r="E25" s="1"/>
      <c r="F25" s="1"/>
      <c r="I25" s="30" t="s">
        <v>28</v>
      </c>
      <c r="J25" s="11">
        <f>1.4*347</f>
        <v>485.79999999999995</v>
      </c>
      <c r="K25" s="11">
        <f>1.4*1470</f>
        <v>2058</v>
      </c>
      <c r="L25" s="11">
        <f>1.4*0.4</f>
        <v>0.55999999999999994</v>
      </c>
      <c r="M25" s="11">
        <f>1.4*6.7</f>
        <v>9.379999999999999</v>
      </c>
      <c r="N25" s="11">
        <f>1.4*78.1</f>
        <v>109.33999999999999</v>
      </c>
      <c r="O25" s="11">
        <f>1.4*0.14</f>
        <v>0.19600000000000001</v>
      </c>
      <c r="P25" s="37" t="s">
        <v>15</v>
      </c>
      <c r="U25" s="4"/>
      <c r="V25" s="4"/>
    </row>
    <row r="26" spans="3:22" ht="16.5" thickTop="1" thickBot="1" x14ac:dyDescent="0.3">
      <c r="C26" s="1"/>
      <c r="D26" s="1"/>
      <c r="E26" s="1"/>
      <c r="F26" s="1"/>
      <c r="I26" s="28" t="s">
        <v>17</v>
      </c>
      <c r="J26" s="34">
        <f>1.5*16</f>
        <v>24</v>
      </c>
      <c r="K26" s="34">
        <f>1.5*68.8</f>
        <v>103.19999999999999</v>
      </c>
      <c r="L26" s="34">
        <f>1.5*0.16</f>
        <v>0.24</v>
      </c>
      <c r="M26" s="34">
        <f>1.5*0.72</f>
        <v>1.08</v>
      </c>
      <c r="N26" s="34">
        <f>1.5*2.48</f>
        <v>3.7199999999999998</v>
      </c>
      <c r="O26" s="34">
        <f>1.5*1.76</f>
        <v>2.64</v>
      </c>
      <c r="P26" s="23" t="s">
        <v>15</v>
      </c>
      <c r="Q26" s="35"/>
      <c r="R26" s="35"/>
      <c r="S26" s="35"/>
      <c r="T26" s="35"/>
      <c r="U26" s="35"/>
      <c r="V26" s="35"/>
    </row>
    <row r="27" spans="3:22" ht="16.5" thickTop="1" thickBot="1" x14ac:dyDescent="0.3">
      <c r="C27" s="1"/>
      <c r="D27" s="1"/>
      <c r="E27" s="1"/>
      <c r="F27" s="1"/>
      <c r="I27" s="30" t="s">
        <v>18</v>
      </c>
      <c r="J27" s="11">
        <f>0.3*72</f>
        <v>21.599999999999998</v>
      </c>
      <c r="K27" s="11">
        <f>0.3*303</f>
        <v>90.899999999999991</v>
      </c>
      <c r="L27" s="11">
        <f>0.3*0.6</f>
        <v>0.18</v>
      </c>
      <c r="M27" s="11">
        <f>0.3*3.8</f>
        <v>1.1399999999999999</v>
      </c>
      <c r="N27" s="11">
        <f>0.3*11.3</f>
        <v>3.39</v>
      </c>
      <c r="O27" s="11">
        <f>0.3*1.3</f>
        <v>0.39</v>
      </c>
      <c r="P27" s="37" t="s">
        <v>15</v>
      </c>
      <c r="Q27" s="35"/>
      <c r="R27" s="35"/>
      <c r="S27" s="35"/>
      <c r="T27" s="35"/>
      <c r="U27" s="35"/>
      <c r="V27" s="35"/>
    </row>
    <row r="28" spans="3:22" ht="16.5" thickTop="1" thickBot="1" x14ac:dyDescent="0.3">
      <c r="C28" s="1"/>
      <c r="D28" s="1"/>
      <c r="E28" s="1"/>
      <c r="F28" s="1"/>
      <c r="I28" s="28" t="s">
        <v>20</v>
      </c>
      <c r="J28" s="34">
        <f>899*0.1</f>
        <v>89.9</v>
      </c>
      <c r="K28" s="34">
        <f>3700*0.1</f>
        <v>370</v>
      </c>
      <c r="L28" s="34">
        <f>99.9*0.1</f>
        <v>9.990000000000002</v>
      </c>
      <c r="M28" s="34">
        <v>0</v>
      </c>
      <c r="N28" s="34">
        <v>0</v>
      </c>
      <c r="O28" s="34">
        <v>0</v>
      </c>
      <c r="P28" s="23" t="s">
        <v>15</v>
      </c>
      <c r="Q28" s="35"/>
      <c r="R28" s="35"/>
      <c r="S28" s="35"/>
      <c r="T28" s="36"/>
      <c r="U28" s="36"/>
      <c r="V28" s="36"/>
    </row>
    <row r="29" spans="3:22" ht="16.5" thickTop="1" thickBot="1" x14ac:dyDescent="0.3">
      <c r="C29" s="1"/>
      <c r="D29" s="1"/>
      <c r="E29" s="1"/>
      <c r="F29" s="1"/>
      <c r="I29" s="30" t="s">
        <v>14</v>
      </c>
      <c r="J29" s="11">
        <f>1.5*48</f>
        <v>72</v>
      </c>
      <c r="K29" s="11">
        <f>1.5*201</f>
        <v>301.5</v>
      </c>
      <c r="L29" s="11">
        <f>1.5*2</f>
        <v>3</v>
      </c>
      <c r="M29" s="11">
        <f>1.5*1.1</f>
        <v>1.6500000000000001</v>
      </c>
      <c r="N29" s="11">
        <f>1.5*8.9</f>
        <v>13.350000000000001</v>
      </c>
      <c r="O29" s="11">
        <f>1.5*8.9</f>
        <v>13.350000000000001</v>
      </c>
      <c r="P29" s="37" t="s">
        <v>15</v>
      </c>
      <c r="Q29" s="35"/>
      <c r="R29" s="35"/>
      <c r="S29" s="35"/>
      <c r="T29" s="35"/>
      <c r="U29" s="35"/>
      <c r="V29" s="35"/>
    </row>
    <row r="30" spans="3:22" ht="16.5" thickTop="1" thickBot="1" x14ac:dyDescent="0.3">
      <c r="C30" s="1"/>
      <c r="D30" s="1"/>
      <c r="E30" s="1"/>
      <c r="F30" s="1"/>
      <c r="I30" s="28" t="s">
        <v>29</v>
      </c>
      <c r="J30" s="34">
        <f>1.5*25</f>
        <v>37.5</v>
      </c>
      <c r="K30" s="34">
        <v>106</v>
      </c>
      <c r="L30" s="34">
        <v>0</v>
      </c>
      <c r="M30" s="34">
        <f>1.5*0.6</f>
        <v>0.89999999999999991</v>
      </c>
      <c r="N30" s="34">
        <f>1.5*4.4</f>
        <v>6.6000000000000005</v>
      </c>
      <c r="O30" s="34">
        <f>1.5*4.1</f>
        <v>6.1499999999999995</v>
      </c>
      <c r="P30" s="23" t="s">
        <v>15</v>
      </c>
      <c r="Q30" s="35"/>
      <c r="R30" s="35"/>
      <c r="S30" s="35"/>
      <c r="T30" s="35"/>
      <c r="U30" s="35"/>
      <c r="V30" s="35"/>
    </row>
    <row r="31" spans="3:22" ht="16.5" thickTop="1" thickBot="1" x14ac:dyDescent="0.3">
      <c r="C31" s="1"/>
      <c r="D31" s="1"/>
      <c r="E31" s="1"/>
      <c r="F31" s="1"/>
      <c r="I31" s="30" t="s">
        <v>22</v>
      </c>
      <c r="J31" s="11" t="s">
        <v>30</v>
      </c>
      <c r="K31" s="11" t="s">
        <v>30</v>
      </c>
      <c r="L31" s="11" t="s">
        <v>30</v>
      </c>
      <c r="M31" s="11" t="s">
        <v>30</v>
      </c>
      <c r="N31" s="11" t="s">
        <v>30</v>
      </c>
      <c r="O31" s="11" t="s">
        <v>30</v>
      </c>
      <c r="P31" s="37" t="s">
        <v>15</v>
      </c>
      <c r="Q31" s="35"/>
      <c r="R31" s="35"/>
      <c r="S31" s="35"/>
      <c r="T31" s="35"/>
      <c r="U31" s="35"/>
      <c r="V31" s="35"/>
    </row>
    <row r="32" spans="3:22" ht="16.5" thickTop="1" thickBot="1" x14ac:dyDescent="0.3">
      <c r="C32" s="1"/>
      <c r="D32" s="1"/>
      <c r="E32" s="1"/>
      <c r="F32" s="1"/>
      <c r="I32" s="28" t="s">
        <v>21</v>
      </c>
      <c r="J32" s="14">
        <f>28/2</f>
        <v>14</v>
      </c>
      <c r="K32" s="14">
        <f>117/2</f>
        <v>58.5</v>
      </c>
      <c r="L32" s="14" t="s">
        <v>37</v>
      </c>
      <c r="M32" s="14">
        <f>2.4/2</f>
        <v>1.2</v>
      </c>
      <c r="N32" s="14">
        <f>1.8/2</f>
        <v>0.9</v>
      </c>
      <c r="O32" s="14">
        <f>1.5/2</f>
        <v>0.75</v>
      </c>
      <c r="P32" s="23" t="s">
        <v>15</v>
      </c>
      <c r="Q32" s="35"/>
      <c r="R32" s="35"/>
      <c r="S32" s="35"/>
      <c r="T32" s="35"/>
      <c r="U32" s="35"/>
      <c r="V32" s="35"/>
    </row>
    <row r="33" spans="3:22" ht="16.5" thickTop="1" thickBot="1" x14ac:dyDescent="0.3">
      <c r="C33" s="1"/>
      <c r="D33" s="1"/>
      <c r="E33" s="1"/>
      <c r="F33" s="1"/>
      <c r="J33" s="53">
        <f>SUM(J24:J32)</f>
        <v>1349.8</v>
      </c>
      <c r="K33" s="53">
        <f t="shared" ref="K33:O33" si="1">SUM(K24:K32)</f>
        <v>5634.5999999999995</v>
      </c>
      <c r="L33" s="53">
        <f t="shared" si="1"/>
        <v>24.970000000000002</v>
      </c>
      <c r="M33" s="53">
        <f t="shared" si="1"/>
        <v>141.29999999999998</v>
      </c>
      <c r="N33" s="53">
        <f t="shared" si="1"/>
        <v>137.29999999999998</v>
      </c>
      <c r="O33" s="53">
        <f t="shared" si="1"/>
        <v>23.475999999999999</v>
      </c>
    </row>
    <row r="34" spans="3:22" ht="15.75" thickTop="1" x14ac:dyDescent="0.25"/>
    <row r="35" spans="3:22" ht="15.75" thickBot="1" x14ac:dyDescent="0.3"/>
    <row r="36" spans="3:22" ht="39.75" thickTop="1" thickBot="1" x14ac:dyDescent="0.3">
      <c r="C36" s="60" t="s">
        <v>47</v>
      </c>
      <c r="D36" s="60"/>
      <c r="E36" s="60"/>
      <c r="F36" s="60"/>
      <c r="G36" s="60"/>
      <c r="H36" s="61"/>
      <c r="I36" s="15" t="s">
        <v>3</v>
      </c>
      <c r="J36" s="16" t="s">
        <v>4</v>
      </c>
      <c r="K36" s="16" t="s">
        <v>4</v>
      </c>
      <c r="L36" s="16" t="s">
        <v>5</v>
      </c>
      <c r="M36" s="46" t="s">
        <v>6</v>
      </c>
      <c r="N36" s="18" t="s">
        <v>7</v>
      </c>
      <c r="O36" s="16" t="s">
        <v>8</v>
      </c>
      <c r="P36" s="19" t="s">
        <v>9</v>
      </c>
    </row>
    <row r="37" spans="3:22" ht="16.5" thickTop="1" thickBot="1" x14ac:dyDescent="0.3">
      <c r="I37" s="20"/>
      <c r="J37" s="21" t="s">
        <v>10</v>
      </c>
      <c r="K37" s="21" t="s">
        <v>11</v>
      </c>
      <c r="L37" s="21" t="s">
        <v>12</v>
      </c>
      <c r="M37" s="47"/>
      <c r="N37" s="21" t="s">
        <v>12</v>
      </c>
      <c r="O37" s="21" t="s">
        <v>13</v>
      </c>
      <c r="P37" s="19"/>
    </row>
    <row r="38" spans="3:22" ht="16.5" thickTop="1" thickBot="1" x14ac:dyDescent="0.3">
      <c r="I38" s="30" t="s">
        <v>42</v>
      </c>
      <c r="J38" s="11">
        <v>149</v>
      </c>
      <c r="K38" s="48">
        <v>621</v>
      </c>
      <c r="L38" s="11">
        <v>10.8</v>
      </c>
      <c r="M38" s="11">
        <v>13</v>
      </c>
      <c r="N38" s="48">
        <v>0</v>
      </c>
      <c r="O38" s="48">
        <v>0</v>
      </c>
      <c r="P38" s="37" t="s">
        <v>15</v>
      </c>
      <c r="Q38" s="35"/>
      <c r="R38" s="35"/>
      <c r="S38" s="35"/>
      <c r="T38" s="35"/>
      <c r="U38" s="35"/>
      <c r="V38" s="35"/>
    </row>
    <row r="39" spans="3:22" ht="16.5" thickTop="1" thickBot="1" x14ac:dyDescent="0.3">
      <c r="I39" s="30" t="s">
        <v>46</v>
      </c>
      <c r="J39" s="11">
        <f>0.5*53</f>
        <v>26.5</v>
      </c>
      <c r="K39" s="48">
        <f>0.5*220</f>
        <v>110</v>
      </c>
      <c r="L39" s="11">
        <f>0.5*2.1</f>
        <v>1.05</v>
      </c>
      <c r="M39" s="11">
        <f>0.5*3.6</f>
        <v>1.8</v>
      </c>
      <c r="N39" s="48">
        <f>0.5*4.2</f>
        <v>2.1</v>
      </c>
      <c r="O39" s="48">
        <f>0.5*4</f>
        <v>2</v>
      </c>
      <c r="P39" s="37" t="s">
        <v>15</v>
      </c>
      <c r="Q39" s="35"/>
      <c r="R39" s="35"/>
      <c r="S39" s="35"/>
      <c r="T39" s="35"/>
      <c r="U39" s="35"/>
      <c r="V39" s="35"/>
    </row>
    <row r="40" spans="3:22" ht="16.5" thickTop="1" thickBot="1" x14ac:dyDescent="0.3">
      <c r="I40" s="30" t="s">
        <v>14</v>
      </c>
      <c r="J40" s="11">
        <f>0.8*16</f>
        <v>12.8</v>
      </c>
      <c r="K40" s="49">
        <f>0.8*68.8</f>
        <v>55.04</v>
      </c>
      <c r="L40" s="11">
        <f>0.8*0.16</f>
        <v>0.128</v>
      </c>
      <c r="M40" s="11">
        <f>0.8*0.72</f>
        <v>0.57599999999999996</v>
      </c>
      <c r="N40" s="49">
        <f>0.8*2.48</f>
        <v>1.984</v>
      </c>
      <c r="O40" s="49">
        <f>0.8*1.76</f>
        <v>1.4080000000000001</v>
      </c>
      <c r="P40" s="37" t="s">
        <v>15</v>
      </c>
      <c r="Q40" s="35"/>
      <c r="R40" s="35"/>
      <c r="S40" s="35"/>
      <c r="T40" s="35"/>
      <c r="U40" s="35"/>
      <c r="V40" s="35"/>
    </row>
    <row r="41" spans="3:22" ht="16.5" thickTop="1" thickBot="1" x14ac:dyDescent="0.3">
      <c r="I41" s="30" t="s">
        <v>43</v>
      </c>
      <c r="J41" s="11">
        <v>624</v>
      </c>
      <c r="K41" s="48">
        <v>2611</v>
      </c>
      <c r="L41" s="11">
        <v>64</v>
      </c>
      <c r="M41" s="11">
        <v>20</v>
      </c>
      <c r="N41" s="48">
        <v>9</v>
      </c>
      <c r="O41" s="48">
        <v>4.5999999999999996</v>
      </c>
      <c r="P41" s="37" t="s">
        <v>15</v>
      </c>
      <c r="Q41" s="35"/>
      <c r="R41" s="35"/>
      <c r="S41" s="35"/>
      <c r="T41" s="35"/>
      <c r="U41" s="35"/>
      <c r="V41" s="35"/>
    </row>
    <row r="42" spans="3:22" ht="16.5" thickTop="1" thickBot="1" x14ac:dyDescent="0.3">
      <c r="I42" s="30" t="s">
        <v>44</v>
      </c>
      <c r="J42" s="11">
        <f>1.5*61</f>
        <v>91.5</v>
      </c>
      <c r="K42" s="48">
        <f>1.5*256</f>
        <v>384</v>
      </c>
      <c r="L42" s="11">
        <f>1.5*0.5</f>
        <v>0.75</v>
      </c>
      <c r="M42" s="11">
        <f>1.5*0.2</f>
        <v>0.30000000000000004</v>
      </c>
      <c r="N42" s="48">
        <f>1.5*12.7</f>
        <v>19.049999999999997</v>
      </c>
      <c r="O42" s="48">
        <f>1.5*12.7</f>
        <v>19.049999999999997</v>
      </c>
      <c r="P42" s="37" t="s">
        <v>15</v>
      </c>
      <c r="Q42" s="35"/>
      <c r="R42" s="35"/>
      <c r="S42" s="35"/>
      <c r="T42" s="36"/>
      <c r="U42" s="35"/>
      <c r="V42" s="35"/>
    </row>
    <row r="43" spans="3:22" ht="16.5" thickTop="1" thickBot="1" x14ac:dyDescent="0.3">
      <c r="I43" s="30" t="s">
        <v>39</v>
      </c>
      <c r="J43" s="11">
        <f>0.2*315</f>
        <v>63</v>
      </c>
      <c r="K43" s="48">
        <f>0.2*1320</f>
        <v>264</v>
      </c>
      <c r="L43" s="11">
        <f>0.2*3.2</f>
        <v>0.64000000000000012</v>
      </c>
      <c r="M43" s="11">
        <f>0.2*3.9</f>
        <v>0.78</v>
      </c>
      <c r="N43" s="48">
        <f>0.2*55.5</f>
        <v>11.100000000000001</v>
      </c>
      <c r="O43" s="48">
        <f>0.2*55.5</f>
        <v>11.100000000000001</v>
      </c>
      <c r="P43" s="37" t="s">
        <v>15</v>
      </c>
      <c r="Q43" s="35"/>
      <c r="R43" s="35"/>
      <c r="S43" s="35"/>
      <c r="T43" s="36"/>
      <c r="U43" s="36"/>
      <c r="V43" s="36"/>
    </row>
    <row r="44" spans="3:22" ht="16.5" thickTop="1" thickBot="1" x14ac:dyDescent="0.3">
      <c r="I44" s="30" t="s">
        <v>41</v>
      </c>
      <c r="J44" s="11">
        <v>132</v>
      </c>
      <c r="K44" s="48">
        <v>561</v>
      </c>
      <c r="L44" s="11">
        <v>0</v>
      </c>
      <c r="M44" s="11">
        <v>0.4</v>
      </c>
      <c r="N44" s="48">
        <v>32.6</v>
      </c>
      <c r="O44" s="48">
        <v>32.6</v>
      </c>
      <c r="P44" s="37" t="s">
        <v>15</v>
      </c>
      <c r="Q44" s="35"/>
      <c r="R44" s="35"/>
      <c r="S44" s="35"/>
      <c r="T44" s="35"/>
      <c r="U44" s="35"/>
      <c r="V44" s="35"/>
    </row>
    <row r="45" spans="3:22" ht="16.5" thickTop="1" thickBot="1" x14ac:dyDescent="0.3">
      <c r="I45" s="30" t="s">
        <v>40</v>
      </c>
      <c r="J45" s="3">
        <v>31</v>
      </c>
      <c r="K45" s="3">
        <v>130</v>
      </c>
      <c r="L45" s="3">
        <v>0.3</v>
      </c>
      <c r="M45" s="3">
        <v>0.5</v>
      </c>
      <c r="N45" s="3">
        <v>1.9</v>
      </c>
      <c r="O45" s="3">
        <v>1.9</v>
      </c>
      <c r="P45" s="37" t="s">
        <v>15</v>
      </c>
    </row>
    <row r="46" spans="3:22" ht="16.5" thickTop="1" thickBot="1" x14ac:dyDescent="0.3">
      <c r="I46" s="50" t="s">
        <v>45</v>
      </c>
      <c r="J46" s="3">
        <f>0.8*390</f>
        <v>312</v>
      </c>
      <c r="K46" s="3">
        <f>0.8*1660</f>
        <v>1328</v>
      </c>
      <c r="L46" s="3">
        <v>0</v>
      </c>
      <c r="M46" s="3">
        <v>0</v>
      </c>
      <c r="N46" s="3">
        <f>0.8*97.5</f>
        <v>78</v>
      </c>
      <c r="O46" s="3">
        <f>0.8*97.5</f>
        <v>78</v>
      </c>
      <c r="P46" s="37" t="s">
        <v>15</v>
      </c>
    </row>
    <row r="47" spans="3:22" ht="16.5" thickTop="1" thickBot="1" x14ac:dyDescent="0.3">
      <c r="J47" s="53">
        <f>SUM(J38:J46)</f>
        <v>1441.8</v>
      </c>
      <c r="K47" s="53">
        <f t="shared" ref="K47:O47" si="2">SUM(K38:K46)</f>
        <v>6064.04</v>
      </c>
      <c r="L47" s="53">
        <f t="shared" si="2"/>
        <v>77.668000000000006</v>
      </c>
      <c r="M47" s="53">
        <f t="shared" si="2"/>
        <v>37.356000000000002</v>
      </c>
      <c r="N47" s="53">
        <f t="shared" si="2"/>
        <v>155.73400000000001</v>
      </c>
      <c r="O47" s="53">
        <f t="shared" si="2"/>
        <v>150.65800000000002</v>
      </c>
    </row>
    <row r="48" spans="3:22" ht="15.75" thickTop="1" x14ac:dyDescent="0.25"/>
    <row r="49" spans="9:15" ht="15.75" thickBot="1" x14ac:dyDescent="0.3"/>
    <row r="50" spans="9:15" ht="15.75" thickBot="1" x14ac:dyDescent="0.3">
      <c r="I50" s="5" t="s">
        <v>31</v>
      </c>
      <c r="J50" s="6">
        <f>J19</f>
        <v>1225.6000000000001</v>
      </c>
      <c r="K50" s="6">
        <f>K19</f>
        <v>5113.4400000000005</v>
      </c>
      <c r="L50" s="6">
        <f>L19</f>
        <v>87.228000000000009</v>
      </c>
      <c r="M50" s="6">
        <f>M19</f>
        <v>15.266</v>
      </c>
      <c r="N50" s="6">
        <f>N19</f>
        <v>86.474000000000004</v>
      </c>
      <c r="O50" s="6">
        <f>O19</f>
        <v>48.247999999999998</v>
      </c>
    </row>
    <row r="51" spans="9:15" ht="15.75" thickBot="1" x14ac:dyDescent="0.3">
      <c r="I51" s="51" t="s">
        <v>32</v>
      </c>
      <c r="J51" s="6">
        <f>J33</f>
        <v>1349.8</v>
      </c>
      <c r="K51" s="6">
        <f>K33</f>
        <v>5634.5999999999995</v>
      </c>
      <c r="L51" s="6">
        <f>L33</f>
        <v>24.970000000000002</v>
      </c>
      <c r="M51" s="6">
        <f>M33</f>
        <v>141.29999999999998</v>
      </c>
      <c r="N51" s="6">
        <f>N33</f>
        <v>137.29999999999998</v>
      </c>
      <c r="O51" s="6">
        <f>O33</f>
        <v>23.475999999999999</v>
      </c>
    </row>
    <row r="52" spans="9:15" ht="15.75" thickBot="1" x14ac:dyDescent="0.3">
      <c r="I52" s="5" t="s">
        <v>33</v>
      </c>
      <c r="J52" s="6">
        <f>J47</f>
        <v>1441.8</v>
      </c>
      <c r="K52" s="6">
        <f t="shared" ref="K52:O52" si="3">K47</f>
        <v>6064.04</v>
      </c>
      <c r="L52" s="6">
        <f t="shared" si="3"/>
        <v>77.668000000000006</v>
      </c>
      <c r="M52" s="6">
        <f t="shared" si="3"/>
        <v>37.356000000000002</v>
      </c>
      <c r="N52" s="6">
        <f t="shared" si="3"/>
        <v>155.73400000000001</v>
      </c>
      <c r="O52" s="6">
        <f t="shared" si="3"/>
        <v>150.65800000000002</v>
      </c>
    </row>
    <row r="53" spans="9:15" ht="15.75" thickBot="1" x14ac:dyDescent="0.3">
      <c r="I53" s="7" t="s">
        <v>34</v>
      </c>
      <c r="J53" s="8">
        <f>J50+J51+J52</f>
        <v>4017.2</v>
      </c>
      <c r="K53" s="8">
        <f t="shared" ref="K53:O53" si="4">K50+K51+K52</f>
        <v>16812.080000000002</v>
      </c>
      <c r="L53" s="8">
        <f t="shared" si="4"/>
        <v>189.86600000000001</v>
      </c>
      <c r="M53" s="8">
        <f t="shared" si="4"/>
        <v>193.92199999999997</v>
      </c>
      <c r="N53" s="8">
        <f t="shared" si="4"/>
        <v>379.50800000000004</v>
      </c>
      <c r="O53" s="8">
        <f t="shared" si="4"/>
        <v>222.38200000000001</v>
      </c>
    </row>
    <row r="54" spans="9:15" ht="15.75" thickBot="1" x14ac:dyDescent="0.3">
      <c r="I54" s="9" t="s">
        <v>35</v>
      </c>
      <c r="J54" s="10">
        <f>J53/2</f>
        <v>2008.6</v>
      </c>
      <c r="K54" s="10">
        <f t="shared" ref="K54:O54" si="5">K53/2</f>
        <v>8406.0400000000009</v>
      </c>
      <c r="L54" s="10">
        <f t="shared" si="5"/>
        <v>94.933000000000007</v>
      </c>
      <c r="M54" s="10">
        <f t="shared" si="5"/>
        <v>96.960999999999984</v>
      </c>
      <c r="N54" s="10">
        <f t="shared" si="5"/>
        <v>189.75400000000002</v>
      </c>
      <c r="O54" s="10">
        <f t="shared" si="5"/>
        <v>111.191</v>
      </c>
    </row>
  </sheetData>
  <mergeCells count="15">
    <mergeCell ref="D9:G9"/>
    <mergeCell ref="E17:H17"/>
    <mergeCell ref="D22:H22"/>
    <mergeCell ref="C36:H36"/>
    <mergeCell ref="I22:I23"/>
    <mergeCell ref="P22:P23"/>
    <mergeCell ref="I36:I37"/>
    <mergeCell ref="M36:M37"/>
    <mergeCell ref="P36:P37"/>
    <mergeCell ref="I6:Q6"/>
    <mergeCell ref="I9:I10"/>
    <mergeCell ref="M9:M10"/>
    <mergeCell ref="P9:P10"/>
    <mergeCell ref="T9:T10"/>
    <mergeCell ref="W9:W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Ficha NutricionalESLA Quarteira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Pires</dc:creator>
  <cp:keywords>Agrupamento de Escolas Dr.ª Laura Ayres</cp:keywords>
  <cp:lastModifiedBy>Esla</cp:lastModifiedBy>
  <dcterms:created xsi:type="dcterms:W3CDTF">2023-03-11T23:07:41Z</dcterms:created>
  <dcterms:modified xsi:type="dcterms:W3CDTF">2023-03-12T15:17:34Z</dcterms:modified>
</cp:coreProperties>
</file>