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elsa.pereira\Desktop\Nova pasta (13)\Nova pasta\"/>
    </mc:Choice>
  </mc:AlternateContent>
  <xr:revisionPtr revIDLastSave="0" documentId="8_{7040C6C9-8F3F-44D3-B9F5-075911C39703}" xr6:coauthVersionLast="47" xr6:coauthVersionMax="47" xr10:uidLastSave="{00000000-0000-0000-0000-000000000000}"/>
  <bookViews>
    <workbookView xWindow="4410" yWindow="3165" windowWidth="14400" windowHeight="8235" activeTab="1" xr2:uid="{F8B768A4-954F-4D41-992D-A5C8E16BC680}"/>
  </bookViews>
  <sheets>
    <sheet name="Creme de Tomate e ovo escalfado" sheetId="1" r:id="rId1"/>
    <sheet name="Polvo com batata doce" sheetId="9" r:id="rId2"/>
    <sheet name="Torta de Laranja e alfarroba" sheetId="10" r:id="rId3"/>
    <sheet name="Cálculos" sheetId="11" r:id="rId4"/>
  </sheets>
  <definedNames>
    <definedName name="_xlnm._FilterDatabase" localSheetId="0" hidden="1">'Creme de Tomate e ovo escalfado'!#REF!</definedName>
    <definedName name="_xlnm._FilterDatabase" localSheetId="1" hidden="1">'Polvo com batata doce'!#REF!</definedName>
    <definedName name="_xlnm._FilterDatabase" localSheetId="2" hidden="1">'Torta de Laranja e alfarroba'!#REF!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5" i="11" l="1"/>
  <c r="G35" i="10"/>
  <c r="H37" i="9"/>
  <c r="O40" i="9"/>
  <c r="N40" i="9"/>
  <c r="M40" i="9"/>
  <c r="L40" i="9"/>
  <c r="K40" i="9"/>
  <c r="J40" i="9"/>
  <c r="I40" i="9"/>
  <c r="G37" i="9"/>
  <c r="L40" i="1"/>
  <c r="H30" i="1"/>
  <c r="H31" i="1"/>
  <c r="H32" i="1"/>
  <c r="H33" i="1"/>
  <c r="H34" i="1"/>
  <c r="H35" i="1"/>
  <c r="H36" i="1"/>
  <c r="H37" i="1"/>
  <c r="H38" i="1"/>
  <c r="H29" i="1"/>
  <c r="H30" i="10"/>
  <c r="H31" i="10"/>
  <c r="H32" i="10"/>
  <c r="H33" i="10"/>
  <c r="H34" i="10"/>
  <c r="H35" i="10"/>
  <c r="H36" i="10"/>
  <c r="H29" i="10"/>
  <c r="H33" i="9"/>
  <c r="G33" i="10"/>
  <c r="G34" i="10"/>
  <c r="E34" i="10"/>
  <c r="E33" i="10"/>
  <c r="E29" i="10"/>
  <c r="G29" i="10"/>
  <c r="E34" i="9"/>
  <c r="E30" i="9"/>
  <c r="E36" i="1"/>
  <c r="E30" i="1"/>
  <c r="E32" i="1"/>
  <c r="E33" i="1"/>
  <c r="E35" i="1"/>
  <c r="E35" i="10"/>
  <c r="E37" i="9"/>
  <c r="G31" i="10"/>
  <c r="G37" i="1"/>
  <c r="G38" i="1"/>
  <c r="G35" i="1"/>
  <c r="G34" i="1"/>
  <c r="G33" i="1"/>
  <c r="G30" i="1"/>
  <c r="G29" i="1"/>
  <c r="E29" i="9"/>
  <c r="G29" i="9"/>
  <c r="H29" i="9" s="1"/>
  <c r="G30" i="9"/>
  <c r="H30" i="9" s="1"/>
  <c r="G31" i="9"/>
  <c r="H31" i="9" s="1"/>
  <c r="G34" i="9"/>
  <c r="H34" i="9" s="1"/>
  <c r="E37" i="1"/>
  <c r="E30" i="10"/>
  <c r="E31" i="10"/>
  <c r="E32" i="10"/>
  <c r="E36" i="10"/>
  <c r="E31" i="9"/>
  <c r="E32" i="9"/>
  <c r="E33" i="9"/>
  <c r="E35" i="9"/>
  <c r="E36" i="9"/>
  <c r="E38" i="1"/>
  <c r="G36" i="1"/>
  <c r="G30" i="10"/>
  <c r="G32" i="10"/>
  <c r="G36" i="10"/>
  <c r="G36" i="9"/>
  <c r="H36" i="9" s="1"/>
  <c r="G32" i="9"/>
  <c r="H32" i="9" s="1"/>
  <c r="E34" i="1"/>
  <c r="G35" i="9"/>
  <c r="H35" i="9" s="1"/>
  <c r="K50" i="1" l="1"/>
  <c r="G40" i="9"/>
  <c r="G42" i="9" s="1"/>
  <c r="K50" i="9"/>
  <c r="G40" i="1"/>
  <c r="G42" i="1" s="1"/>
  <c r="C14" i="11" l="1"/>
  <c r="D14" i="11" s="1"/>
  <c r="E31" i="1"/>
  <c r="N42" i="9"/>
  <c r="L42" i="9"/>
  <c r="H40" i="1"/>
  <c r="H42" i="1" s="1"/>
  <c r="K48" i="10"/>
  <c r="K50" i="10"/>
  <c r="K52" i="9"/>
  <c r="K52" i="1"/>
  <c r="O38" i="10" l="1"/>
  <c r="O40" i="10" s="1"/>
  <c r="C15" i="11"/>
  <c r="E13" i="11" s="1"/>
  <c r="L38" i="10"/>
  <c r="L40" i="10" s="1"/>
  <c r="M38" i="10"/>
  <c r="M40" i="10" s="1"/>
  <c r="J38" i="10"/>
  <c r="J40" i="10" s="1"/>
  <c r="K38" i="10"/>
  <c r="K40" i="10" s="1"/>
  <c r="M40" i="1"/>
  <c r="M42" i="1" s="1"/>
  <c r="H40" i="9"/>
  <c r="H42" i="9" s="1"/>
  <c r="I42" i="9"/>
  <c r="J42" i="9"/>
  <c r="K42" i="9"/>
  <c r="O42" i="9"/>
  <c r="M42" i="9"/>
  <c r="J40" i="1"/>
  <c r="J42" i="1" s="1"/>
  <c r="K40" i="1"/>
  <c r="K42" i="1" s="1"/>
  <c r="O40" i="1"/>
  <c r="O42" i="1" s="1"/>
  <c r="L42" i="1"/>
  <c r="N40" i="1"/>
  <c r="N42" i="1" s="1"/>
  <c r="H38" i="10"/>
  <c r="H40" i="10" s="1"/>
  <c r="I38" i="10"/>
  <c r="I40" i="10" s="1"/>
  <c r="G38" i="10"/>
  <c r="G40" i="10" s="1"/>
  <c r="N38" i="10"/>
  <c r="N40" i="10" s="1"/>
  <c r="K53" i="9"/>
  <c r="K54" i="9" s="1"/>
  <c r="I40" i="1" l="1"/>
  <c r="I42" i="1" s="1"/>
  <c r="C13" i="11"/>
  <c r="D13" i="11" s="1"/>
  <c r="C7" i="11"/>
  <c r="K51" i="10"/>
  <c r="K54" i="10" s="1"/>
  <c r="C6" i="11"/>
  <c r="K56" i="9"/>
  <c r="K53" i="1" l="1"/>
  <c r="K56" i="1" s="1"/>
  <c r="K52" i="10"/>
  <c r="C5" i="11" l="1"/>
  <c r="D5" i="11" s="1"/>
  <c r="K54" i="1"/>
</calcChain>
</file>

<file path=xl/sharedStrings.xml><?xml version="1.0" encoding="utf-8"?>
<sst xmlns="http://schemas.openxmlformats.org/spreadsheetml/2006/main" count="253" uniqueCount="96">
  <si>
    <t>FICHA TÉCNICA COZINHA</t>
  </si>
  <si>
    <t>Sim</t>
  </si>
  <si>
    <t>Não</t>
  </si>
  <si>
    <t>Ponto de Venda/Outlet:</t>
  </si>
  <si>
    <t>Categoria:</t>
  </si>
  <si>
    <t>Nº doses por receita:</t>
  </si>
  <si>
    <t>Confeção (receita):</t>
  </si>
  <si>
    <t>Tempo Confecção:</t>
  </si>
  <si>
    <t>Valores Ideais</t>
  </si>
  <si>
    <t>Total PC</t>
  </si>
  <si>
    <t>Rácio /Food Cost (%)</t>
  </si>
  <si>
    <t>Mark up:</t>
  </si>
  <si>
    <t>Total PV</t>
  </si>
  <si>
    <t>Margem contribuição</t>
  </si>
  <si>
    <t>IVA</t>
  </si>
  <si>
    <t>PVP</t>
  </si>
  <si>
    <t>Elaborado por</t>
  </si>
  <si>
    <t>Data:</t>
  </si>
  <si>
    <t>Entrada</t>
  </si>
  <si>
    <t>Água</t>
  </si>
  <si>
    <t>Sal</t>
  </si>
  <si>
    <t>Azeite</t>
  </si>
  <si>
    <t>kg</t>
  </si>
  <si>
    <t>Temperatura Confeção:</t>
  </si>
  <si>
    <t>Alimento</t>
  </si>
  <si>
    <t xml:space="preserve">Energia
[kcal] </t>
  </si>
  <si>
    <t xml:space="preserve">Energia
[kJ] </t>
  </si>
  <si>
    <t>Lípidos
[g]</t>
  </si>
  <si>
    <t xml:space="preserve">Ácidos gordos saturados
[g] </t>
  </si>
  <si>
    <t>Hidratos de carbono 
[g]</t>
  </si>
  <si>
    <t xml:space="preserve">Açúcares 
[g] </t>
  </si>
  <si>
    <t>Fibra  
[g]</t>
  </si>
  <si>
    <t xml:space="preserve">Proteínas 
[g] </t>
  </si>
  <si>
    <t>Sal  
[g]</t>
  </si>
  <si>
    <t>[kcal]</t>
  </si>
  <si>
    <t>[kj]</t>
  </si>
  <si>
    <t>[g]</t>
  </si>
  <si>
    <t>Unidade medida</t>
  </si>
  <si>
    <t>Componente alergénio</t>
  </si>
  <si>
    <t>Quantidade total utilizada</t>
  </si>
  <si>
    <t>Valor total do compoente nutricional na refeição</t>
  </si>
  <si>
    <t>Prato principal</t>
  </si>
  <si>
    <t>Valores nutricionais por quantidade total utilizada</t>
  </si>
  <si>
    <t>Sobremesa</t>
  </si>
  <si>
    <t>Valor por dose</t>
  </si>
  <si>
    <t>Batata doce</t>
  </si>
  <si>
    <t>Cebola</t>
  </si>
  <si>
    <t>Alho</t>
  </si>
  <si>
    <r>
      <rPr>
        <b/>
        <sz val="11"/>
        <rFont val="Arial Narrow"/>
        <family val="2"/>
      </rPr>
      <t>Alimentos Alergénios</t>
    </r>
    <r>
      <rPr>
        <sz val="11"/>
        <rFont val="Arial Narrow"/>
        <family val="2"/>
      </rPr>
      <t>:   Cereais que contêm glúten; Soja e produtos à base de soja; Leite e produtos à base de leite (incluindo lactose);  Frutos secos de casca rija; Amendoim e produtos à base de amendoim, Aipo e produtos à base de aipo, Sementes de Sésamo e produtos à base de sementes de sésamo; Tremoço e produtos à base de tremoço; Crustáceos e produtos à base de Crustáceos; Muluscos e produtos à base de muluscos; Peixe e produtos à base de peixe; Ovos e produtos à base de ovos; Dióxido de Enxofre e Sulfitos em concentrações superiores a 10 mg/kg ou 10 mg/l expressos em SO2</t>
    </r>
  </si>
  <si>
    <t>foto</t>
  </si>
  <si>
    <t>Desafio Eco Ementas</t>
  </si>
  <si>
    <t>Ovos</t>
  </si>
  <si>
    <t>un</t>
  </si>
  <si>
    <r>
      <t xml:space="preserve">Custo total </t>
    </r>
    <r>
      <rPr>
        <b/>
        <sz val="11"/>
        <color theme="1"/>
        <rFont val="Calibri"/>
        <family val="2"/>
      </rPr>
      <t>€</t>
    </r>
  </si>
  <si>
    <t>Custo unitário €</t>
  </si>
  <si>
    <t>Custo unitário
€</t>
  </si>
  <si>
    <r>
      <t xml:space="preserve">Custo total
</t>
    </r>
    <r>
      <rPr>
        <b/>
        <sz val="11"/>
        <color theme="1"/>
        <rFont val="Calibri"/>
        <family val="2"/>
      </rPr>
      <t>€</t>
    </r>
  </si>
  <si>
    <t>Custo total
€</t>
  </si>
  <si>
    <t>PVT</t>
  </si>
  <si>
    <t>Prato</t>
  </si>
  <si>
    <t>Dose por pessoa</t>
  </si>
  <si>
    <t>1400 a 2400 género feminino
2000 a 3200 género masculino</t>
  </si>
  <si>
    <t xml:space="preserve">Valores de referência entre os 14 e os 18 anos 
[kcal] </t>
  </si>
  <si>
    <t>Preço menu completo, por pessoa 
[€]</t>
  </si>
  <si>
    <t>Creme de tomate com ovo</t>
  </si>
  <si>
    <t>Tomate</t>
  </si>
  <si>
    <t>Açucar</t>
  </si>
  <si>
    <t>Ovo</t>
  </si>
  <si>
    <t>lt</t>
  </si>
  <si>
    <t>Uni</t>
  </si>
  <si>
    <t>Polvo</t>
  </si>
  <si>
    <t>Coentros</t>
  </si>
  <si>
    <t>Louro</t>
  </si>
  <si>
    <t>Kg</t>
  </si>
  <si>
    <t xml:space="preserve">Açúcar </t>
  </si>
  <si>
    <t>Amido de milho</t>
  </si>
  <si>
    <t>Laranja</t>
  </si>
  <si>
    <t>Farinha de Alfarroba</t>
  </si>
  <si>
    <t>Agua</t>
  </si>
  <si>
    <t>Chocolate negro</t>
  </si>
  <si>
    <t>Torta de Laranja e alfarroba</t>
  </si>
  <si>
    <t>Polvo com batata doce</t>
  </si>
  <si>
    <t xml:space="preserve"> </t>
  </si>
  <si>
    <t>Sementes de Sésamo</t>
  </si>
  <si>
    <t>Semestes de papoila</t>
  </si>
  <si>
    <r>
      <t>Preço  por refeição
[</t>
    </r>
    <r>
      <rPr>
        <b/>
        <sz val="8"/>
        <color theme="1"/>
        <rFont val="Calibri"/>
        <family val="2"/>
      </rPr>
      <t>€</t>
    </r>
    <r>
      <rPr>
        <b/>
        <i/>
        <sz val="8"/>
        <color theme="1"/>
        <rFont val="Calibri Light"/>
        <family val="2"/>
        <scheme val="major"/>
      </rPr>
      <t xml:space="preserve">]
</t>
    </r>
  </si>
  <si>
    <t xml:space="preserve">Valor energático da refeição completa *
[kcal] </t>
  </si>
  <si>
    <t>*cerca de  30% das calorias diárias necessárias para um dieta de 2400 kcal = 720kcal</t>
  </si>
  <si>
    <t>Preço por pessoa [€]</t>
  </si>
  <si>
    <t>ml</t>
  </si>
  <si>
    <t>g</t>
  </si>
  <si>
    <t>Espinafre</t>
  </si>
  <si>
    <t>24,,975</t>
  </si>
  <si>
    <t>Leite de soja</t>
  </si>
  <si>
    <t xml:space="preserve">Pré-aqueça o forno a 170ºC.1-Misture o açúcar com o amido.
 2-Adicione, pouco a pouco, o sumo de laranja, filtrado, mexendo sempre.
3- Junte a raspa de 1 laranja, os ovos e misture muito bem, até obter uma mistura homogénea.
 4- Verta a massa para um tabuleiro de forno, forrado a papel vegetal e untado com spray de gordura. 
5- Leve ao forno, pré-aquecido a 170ºC, durante 10 minutos.
              A parte faça o recheio de alfarroba,
6- Derreta o chocolate com um pouco de leite de soja e farinha de alfarroba até formar uma pasta homogénea que se consiga barrar a torta.
7-Retire do forno a torta,
8-Vire de imediato sobre um papel vegetal 
9-Barre com o recheio e enrole 
10-Decore com frutos e flores comestíveis.
</t>
  </si>
  <si>
    <t>Pré aquecer o forno a 170 graus1- Colocar um tacho ao lume com azeite, a cebola e alho deixar refogar,
2- Adicionar o tomate maduro e deixar cozinhar lentamente até o tomate se começar a desfazer,
3 -Juntar a agua e tempere com sal,
4 -Deixar cozinhar lentamente,
5- Passar a mix assim que esteja cozinhado,
6 - Retificar temperos com açúcar,
 7-Juntar as sementes
8- Escalfar o ovo à parte,
9-  Guarnecer por cima do creme de tomate,
10- No final decorar manjericão.
 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</si>
</sst>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#,##0.000"/>
    <numFmt numFmtId="165" formatCode="_([$€-2]\ * #,##0.00_);_([$€-2]\ * \(#,##0.00\);_([$€-2]\ * &quot;-&quot;??_);_(@_)"/>
    <numFmt numFmtId="166" formatCode="0.000"/>
    <numFmt numFmtId="167" formatCode="_ * #,##0.00_)\ &quot;€&quot;_ ;_ * \(#,##0.00\)\ &quot;€&quot;_ ;_ * &quot;-&quot;??_)\ &quot;€&quot;_ ;_ @_ "/>
    <numFmt numFmtId="168" formatCode="0.0"/>
    <numFmt numFmtId="169" formatCode="#,##0.00\ [$€-816]"/>
    <numFmt numFmtId="170" formatCode="#,##0.0"/>
    <numFmt numFmtId="171" formatCode="#,##0.00000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1"/>
      <name val="Arial Narrow"/>
      <family val="2"/>
    </font>
    <font>
      <sz val="11"/>
      <name val="Arial Narrow"/>
      <family val="2"/>
    </font>
    <font>
      <sz val="11"/>
      <color theme="1"/>
      <name val="Arial Narrow"/>
      <family val="2"/>
    </font>
    <font>
      <sz val="11"/>
      <color theme="0"/>
      <name val="Arial Narrow"/>
      <family val="2"/>
    </font>
    <font>
      <b/>
      <sz val="11"/>
      <color theme="1"/>
      <name val="Arial Narrow"/>
      <family val="2"/>
    </font>
    <font>
      <sz val="11"/>
      <color indexed="8"/>
      <name val="Arial Narrow"/>
      <family val="2"/>
    </font>
    <font>
      <b/>
      <sz val="11"/>
      <color indexed="8"/>
      <name val="Arial Narrow"/>
      <family val="2"/>
    </font>
    <font>
      <b/>
      <u/>
      <sz val="11"/>
      <name val="Arial Narrow"/>
      <family val="2"/>
    </font>
    <font>
      <u/>
      <sz val="11"/>
      <name val="Arial Narrow"/>
      <family val="2"/>
    </font>
    <font>
      <b/>
      <sz val="11"/>
      <color theme="1"/>
      <name val="Calibri"/>
      <family val="2"/>
    </font>
    <font>
      <b/>
      <sz val="8"/>
      <color theme="1"/>
      <name val="Calibri Light"/>
      <family val="2"/>
      <scheme val="major"/>
    </font>
    <font>
      <sz val="8"/>
      <color theme="1"/>
      <name val="Calibri Light"/>
      <family val="2"/>
      <scheme val="major"/>
    </font>
    <font>
      <i/>
      <sz val="8"/>
      <color theme="1"/>
      <name val="Calibri Light"/>
      <family val="2"/>
      <scheme val="major"/>
    </font>
    <font>
      <b/>
      <i/>
      <sz val="8"/>
      <color theme="1"/>
      <name val="Calibri Light"/>
      <family val="2"/>
      <scheme val="major"/>
    </font>
    <font>
      <b/>
      <sz val="8"/>
      <color theme="1"/>
      <name val="Calibri"/>
      <family val="2"/>
    </font>
    <font>
      <b/>
      <sz val="8"/>
      <color rgb="FFFF0000"/>
      <name val="Calibri Light"/>
      <family val="2"/>
      <scheme val="major"/>
    </font>
    <font>
      <b/>
      <sz val="8"/>
      <name val="Calibri Light"/>
      <family val="2"/>
      <scheme val="major"/>
    </font>
  </fonts>
  <fills count="1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39997558519241921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/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207">
    <xf numFmtId="0" fontId="0" fillId="0" borderId="0" xfId="0"/>
    <xf numFmtId="0" fontId="3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3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 wrapText="1" shrinkToFit="1"/>
    </xf>
    <xf numFmtId="0" fontId="6" fillId="0" borderId="29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164" fontId="7" fillId="0" borderId="29" xfId="0" applyNumberFormat="1" applyFont="1" applyBorder="1" applyAlignment="1">
      <alignment horizontal="center" vertical="center"/>
    </xf>
    <xf numFmtId="164" fontId="7" fillId="0" borderId="2" xfId="0" applyNumberFormat="1" applyFont="1" applyBorder="1" applyAlignment="1">
      <alignment horizontal="center" vertical="center"/>
    </xf>
    <xf numFmtId="2" fontId="7" fillId="0" borderId="29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horizontal="center" vertical="center"/>
    </xf>
    <xf numFmtId="0" fontId="4" fillId="0" borderId="29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164" fontId="7" fillId="0" borderId="30" xfId="0" applyNumberFormat="1" applyFont="1" applyBorder="1" applyAlignment="1">
      <alignment horizontal="center" vertical="center"/>
    </xf>
    <xf numFmtId="164" fontId="7" fillId="0" borderId="0" xfId="0" applyNumberFormat="1" applyFont="1" applyAlignment="1">
      <alignment horizontal="center" vertical="center"/>
    </xf>
    <xf numFmtId="2" fontId="7" fillId="0" borderId="30" xfId="0" applyNumberFormat="1" applyFont="1" applyBorder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0" fontId="4" fillId="0" borderId="30" xfId="0" applyFont="1" applyBorder="1" applyAlignment="1">
      <alignment horizontal="center" vertical="center"/>
    </xf>
    <xf numFmtId="2" fontId="4" fillId="0" borderId="30" xfId="0" applyNumberFormat="1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166" fontId="7" fillId="0" borderId="4" xfId="0" applyNumberFormat="1" applyFont="1" applyBorder="1" applyAlignment="1">
      <alignment horizontal="center" vertical="center"/>
    </xf>
    <xf numFmtId="166" fontId="7" fillId="0" borderId="30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164" fontId="7" fillId="0" borderId="31" xfId="0" applyNumberFormat="1" applyFont="1" applyBorder="1" applyAlignment="1">
      <alignment horizontal="center" vertical="center"/>
    </xf>
    <xf numFmtId="164" fontId="7" fillId="0" borderId="7" xfId="0" applyNumberFormat="1" applyFont="1" applyBorder="1" applyAlignment="1">
      <alignment horizontal="center" vertical="center"/>
    </xf>
    <xf numFmtId="2" fontId="7" fillId="0" borderId="31" xfId="0" applyNumberFormat="1" applyFont="1" applyBorder="1" applyAlignment="1">
      <alignment horizontal="center" vertical="center"/>
    </xf>
    <xf numFmtId="2" fontId="4" fillId="0" borderId="7" xfId="0" applyNumberFormat="1" applyFont="1" applyBorder="1" applyAlignment="1">
      <alignment horizontal="center" vertical="center"/>
    </xf>
    <xf numFmtId="0" fontId="4" fillId="0" borderId="31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2" fontId="6" fillId="0" borderId="28" xfId="0" applyNumberFormat="1" applyFont="1" applyBorder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4" fontId="8" fillId="0" borderId="33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165" fontId="3" fillId="3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 wrapText="1"/>
    </xf>
    <xf numFmtId="165" fontId="2" fillId="3" borderId="0" xfId="0" applyNumberFormat="1" applyFont="1" applyFill="1" applyAlignment="1">
      <alignment horizontal="center" vertical="center"/>
    </xf>
    <xf numFmtId="14" fontId="3" fillId="3" borderId="0" xfId="0" applyNumberFormat="1" applyFont="1" applyFill="1" applyAlignment="1">
      <alignment horizontal="center" vertical="center"/>
    </xf>
    <xf numFmtId="165" fontId="2" fillId="3" borderId="16" xfId="0" applyNumberFormat="1" applyFont="1" applyFill="1" applyBorder="1" applyAlignment="1">
      <alignment horizontal="right" vertical="center"/>
    </xf>
    <xf numFmtId="9" fontId="2" fillId="3" borderId="19" xfId="0" applyNumberFormat="1" applyFont="1" applyFill="1" applyBorder="1" applyAlignment="1">
      <alignment horizontal="right" vertical="center"/>
    </xf>
    <xf numFmtId="168" fontId="2" fillId="3" borderId="19" xfId="0" applyNumberFormat="1" applyFont="1" applyFill="1" applyBorder="1" applyAlignment="1">
      <alignment horizontal="right" vertical="center"/>
    </xf>
    <xf numFmtId="165" fontId="2" fillId="3" borderId="19" xfId="0" applyNumberFormat="1" applyFont="1" applyFill="1" applyBorder="1" applyAlignment="1">
      <alignment horizontal="right" vertical="center"/>
    </xf>
    <xf numFmtId="165" fontId="2" fillId="3" borderId="24" xfId="0" applyNumberFormat="1" applyFont="1" applyFill="1" applyBorder="1" applyAlignment="1">
      <alignment horizontal="right" vertical="center"/>
    </xf>
    <xf numFmtId="169" fontId="4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 wrapText="1"/>
    </xf>
    <xf numFmtId="2" fontId="4" fillId="0" borderId="31" xfId="0" applyNumberFormat="1" applyFont="1" applyBorder="1" applyAlignment="1">
      <alignment horizontal="center" vertical="center"/>
    </xf>
    <xf numFmtId="9" fontId="2" fillId="3" borderId="0" xfId="0" applyNumberFormat="1" applyFont="1" applyFill="1" applyAlignment="1">
      <alignment horizontal="center" vertical="center"/>
    </xf>
    <xf numFmtId="165" fontId="2" fillId="3" borderId="38" xfId="0" applyNumberFormat="1" applyFont="1" applyFill="1" applyBorder="1" applyAlignment="1">
      <alignment horizontal="right" vertical="center"/>
    </xf>
    <xf numFmtId="9" fontId="2" fillId="3" borderId="40" xfId="0" applyNumberFormat="1" applyFont="1" applyFill="1" applyBorder="1" applyAlignment="1">
      <alignment horizontal="right" vertical="center"/>
    </xf>
    <xf numFmtId="168" fontId="2" fillId="3" borderId="40" xfId="0" applyNumberFormat="1" applyFont="1" applyFill="1" applyBorder="1" applyAlignment="1">
      <alignment horizontal="right" vertical="center"/>
    </xf>
    <xf numFmtId="165" fontId="2" fillId="3" borderId="40" xfId="0" applyNumberFormat="1" applyFont="1" applyFill="1" applyBorder="1" applyAlignment="1">
      <alignment horizontal="right" vertical="center"/>
    </xf>
    <xf numFmtId="165" fontId="2" fillId="3" borderId="45" xfId="0" applyNumberFormat="1" applyFont="1" applyFill="1" applyBorder="1" applyAlignment="1">
      <alignment horizontal="right" vertical="center"/>
    </xf>
    <xf numFmtId="0" fontId="2" fillId="3" borderId="0" xfId="0" applyFont="1" applyFill="1" applyAlignment="1">
      <alignment horizontal="center" vertical="center" wrapText="1"/>
    </xf>
    <xf numFmtId="2" fontId="7" fillId="0" borderId="2" xfId="0" applyNumberFormat="1" applyFont="1" applyBorder="1" applyAlignment="1">
      <alignment horizontal="center" vertical="center"/>
    </xf>
    <xf numFmtId="2" fontId="7" fillId="0" borderId="0" xfId="0" applyNumberFormat="1" applyFont="1" applyAlignment="1">
      <alignment horizontal="center" vertical="center"/>
    </xf>
    <xf numFmtId="2" fontId="7" fillId="0" borderId="7" xfId="0" applyNumberFormat="1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4" fontId="7" fillId="0" borderId="29" xfId="0" applyNumberFormat="1" applyFont="1" applyBorder="1" applyAlignment="1">
      <alignment horizontal="center" vertical="center"/>
    </xf>
    <xf numFmtId="4" fontId="7" fillId="0" borderId="30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166" fontId="4" fillId="0" borderId="30" xfId="0" applyNumberFormat="1" applyFont="1" applyBorder="1" applyAlignment="1">
      <alignment horizontal="center" vertical="center"/>
    </xf>
    <xf numFmtId="2" fontId="7" fillId="0" borderId="5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/>
    </xf>
    <xf numFmtId="0" fontId="15" fillId="0" borderId="33" xfId="0" applyFont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center" wrapText="1"/>
    </xf>
    <xf numFmtId="0" fontId="15" fillId="9" borderId="48" xfId="0" applyFont="1" applyFill="1" applyBorder="1" applyAlignment="1">
      <alignment horizontal="center" vertical="center" wrapText="1"/>
    </xf>
    <xf numFmtId="0" fontId="12" fillId="7" borderId="50" xfId="0" applyFont="1" applyFill="1" applyBorder="1" applyAlignment="1">
      <alignment horizontal="center" vertical="center"/>
    </xf>
    <xf numFmtId="0" fontId="12" fillId="8" borderId="51" xfId="0" applyFont="1" applyFill="1" applyBorder="1" applyAlignment="1">
      <alignment horizontal="center" vertical="center"/>
    </xf>
    <xf numFmtId="2" fontId="6" fillId="0" borderId="33" xfId="0" applyNumberFormat="1" applyFont="1" applyBorder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4" fontId="7" fillId="0" borderId="31" xfId="0" applyNumberFormat="1" applyFont="1" applyBorder="1" applyAlignment="1">
      <alignment horizontal="center" vertical="center"/>
    </xf>
    <xf numFmtId="0" fontId="7" fillId="0" borderId="29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168" fontId="7" fillId="0" borderId="0" xfId="0" applyNumberFormat="1" applyFont="1" applyAlignment="1">
      <alignment horizontal="center" vertical="center"/>
    </xf>
    <xf numFmtId="0" fontId="15" fillId="9" borderId="33" xfId="0" applyFont="1" applyFill="1" applyBorder="1" applyAlignment="1">
      <alignment horizontal="center" vertical="center" wrapText="1"/>
    </xf>
    <xf numFmtId="168" fontId="12" fillId="0" borderId="52" xfId="0" applyNumberFormat="1" applyFont="1" applyBorder="1" applyAlignment="1">
      <alignment horizontal="center"/>
    </xf>
    <xf numFmtId="168" fontId="12" fillId="0" borderId="53" xfId="0" applyNumberFormat="1" applyFont="1" applyBorder="1" applyAlignment="1">
      <alignment horizontal="center"/>
    </xf>
    <xf numFmtId="168" fontId="12" fillId="0" borderId="54" xfId="0" applyNumberFormat="1" applyFont="1" applyBorder="1" applyAlignment="1">
      <alignment horizontal="center"/>
    </xf>
    <xf numFmtId="0" fontId="12" fillId="6" borderId="48" xfId="0" applyFont="1" applyFill="1" applyBorder="1" applyAlignment="1">
      <alignment horizontal="center" vertical="center" wrapText="1"/>
    </xf>
    <xf numFmtId="4" fontId="12" fillId="0" borderId="52" xfId="0" applyNumberFormat="1" applyFont="1" applyBorder="1" applyAlignment="1">
      <alignment horizontal="center" vertical="center" wrapText="1"/>
    </xf>
    <xf numFmtId="4" fontId="12" fillId="0" borderId="53" xfId="0" applyNumberFormat="1" applyFont="1" applyBorder="1" applyAlignment="1">
      <alignment horizontal="center" vertical="center" wrapText="1"/>
    </xf>
    <xf numFmtId="4" fontId="12" fillId="0" borderId="54" xfId="0" applyNumberFormat="1" applyFont="1" applyBorder="1" applyAlignment="1">
      <alignment horizontal="center" vertical="center"/>
    </xf>
    <xf numFmtId="170" fontId="12" fillId="0" borderId="49" xfId="0" applyNumberFormat="1" applyFont="1" applyBorder="1" applyAlignment="1">
      <alignment horizontal="center" vertical="center" wrapText="1"/>
    </xf>
    <xf numFmtId="170" fontId="12" fillId="0" borderId="50" xfId="0" applyNumberFormat="1" applyFont="1" applyBorder="1" applyAlignment="1">
      <alignment horizontal="center" vertical="center" wrapText="1"/>
    </xf>
    <xf numFmtId="170" fontId="12" fillId="0" borderId="51" xfId="0" applyNumberFormat="1" applyFont="1" applyBorder="1" applyAlignment="1">
      <alignment horizontal="center" vertical="center" wrapText="1"/>
    </xf>
    <xf numFmtId="0" fontId="13" fillId="0" borderId="0" xfId="0" applyFont="1" applyAlignment="1">
      <alignment vertical="center" wrapText="1"/>
    </xf>
    <xf numFmtId="0" fontId="13" fillId="10" borderId="33" xfId="0" applyFont="1" applyFill="1" applyBorder="1" applyAlignment="1">
      <alignment vertical="center" wrapText="1"/>
    </xf>
    <xf numFmtId="0" fontId="12" fillId="11" borderId="49" xfId="0" applyFont="1" applyFill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2" fontId="4" fillId="0" borderId="5" xfId="0" applyNumberFormat="1" applyFont="1" applyBorder="1" applyAlignment="1">
      <alignment horizontal="center" vertical="center"/>
    </xf>
    <xf numFmtId="164" fontId="4" fillId="0" borderId="5" xfId="0" applyNumberFormat="1" applyFont="1" applyBorder="1" applyAlignment="1">
      <alignment horizontal="center" vertical="center"/>
    </xf>
    <xf numFmtId="164" fontId="4" fillId="0" borderId="8" xfId="0" applyNumberFormat="1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 wrapText="1"/>
    </xf>
    <xf numFmtId="0" fontId="6" fillId="0" borderId="9" xfId="0" applyFont="1" applyBorder="1" applyAlignment="1">
      <alignment horizontal="center" vertical="center" wrapText="1"/>
    </xf>
    <xf numFmtId="168" fontId="4" fillId="0" borderId="30" xfId="0" applyNumberFormat="1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2" fontId="4" fillId="0" borderId="8" xfId="0" applyNumberFormat="1" applyFont="1" applyBorder="1" applyAlignment="1">
      <alignment horizontal="center" vertical="center"/>
    </xf>
    <xf numFmtId="3" fontId="7" fillId="0" borderId="29" xfId="0" applyNumberFormat="1" applyFont="1" applyBorder="1" applyAlignment="1">
      <alignment horizontal="center" vertical="center"/>
    </xf>
    <xf numFmtId="168" fontId="7" fillId="0" borderId="30" xfId="0" applyNumberFormat="1" applyFont="1" applyBorder="1" applyAlignment="1">
      <alignment horizontal="center" vertical="center"/>
    </xf>
    <xf numFmtId="1" fontId="7" fillId="0" borderId="30" xfId="0" applyNumberFormat="1" applyFont="1" applyBorder="1" applyAlignment="1">
      <alignment horizontal="center" vertical="center"/>
    </xf>
    <xf numFmtId="170" fontId="7" fillId="0" borderId="1" xfId="0" applyNumberFormat="1" applyFont="1" applyBorder="1" applyAlignment="1">
      <alignment horizontal="center" vertical="center"/>
    </xf>
    <xf numFmtId="170" fontId="7" fillId="0" borderId="4" xfId="0" applyNumberFormat="1" applyFont="1" applyBorder="1" applyAlignment="1">
      <alignment horizontal="center" vertical="center"/>
    </xf>
    <xf numFmtId="170" fontId="7" fillId="0" borderId="6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171" fontId="7" fillId="0" borderId="0" xfId="0" applyNumberFormat="1" applyFont="1" applyAlignment="1">
      <alignment horizontal="center" vertical="center"/>
    </xf>
    <xf numFmtId="170" fontId="7" fillId="0" borderId="7" xfId="0" applyNumberFormat="1" applyFont="1" applyBorder="1" applyAlignment="1">
      <alignment horizontal="center" vertical="center"/>
    </xf>
    <xf numFmtId="3" fontId="7" fillId="0" borderId="31" xfId="0" applyNumberFormat="1" applyFont="1" applyBorder="1" applyAlignment="1">
      <alignment horizontal="center" vertical="center"/>
    </xf>
    <xf numFmtId="168" fontId="7" fillId="0" borderId="29" xfId="0" applyNumberFormat="1" applyFont="1" applyBorder="1" applyAlignment="1">
      <alignment horizontal="center" vertical="center"/>
    </xf>
    <xf numFmtId="168" fontId="7" fillId="0" borderId="3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6" xfId="0" applyFont="1" applyBorder="1" applyAlignment="1">
      <alignment horizontal="center" vertical="center"/>
    </xf>
    <xf numFmtId="0" fontId="4" fillId="0" borderId="0" xfId="0" quotePrefix="1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5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2" fillId="3" borderId="5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2" fillId="3" borderId="10" xfId="0" applyFont="1" applyFill="1" applyBorder="1" applyAlignment="1">
      <alignment horizontal="center" vertical="center"/>
    </xf>
    <xf numFmtId="0" fontId="2" fillId="3" borderId="11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0" fontId="2" fillId="0" borderId="25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26" xfId="0" applyFont="1" applyBorder="1" applyAlignment="1">
      <alignment horizontal="center" vertical="center" wrapText="1"/>
    </xf>
    <xf numFmtId="166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 shrinkToFit="1"/>
    </xf>
    <xf numFmtId="0" fontId="2" fillId="0" borderId="25" xfId="0" applyFont="1" applyBorder="1" applyAlignment="1">
      <alignment horizontal="center" vertical="center" wrapText="1" shrinkToFit="1"/>
    </xf>
    <xf numFmtId="0" fontId="2" fillId="0" borderId="32" xfId="0" applyFont="1" applyBorder="1" applyAlignment="1">
      <alignment horizontal="center" vertical="center" wrapText="1" shrinkToFit="1"/>
    </xf>
    <xf numFmtId="0" fontId="2" fillId="0" borderId="26" xfId="0" applyFont="1" applyBorder="1" applyAlignment="1">
      <alignment horizontal="center" vertical="center" wrapText="1" shrinkToFit="1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164" fontId="8" fillId="0" borderId="25" xfId="0" applyNumberFormat="1" applyFont="1" applyBorder="1" applyAlignment="1">
      <alignment horizontal="center" vertical="center" wrapText="1"/>
    </xf>
    <xf numFmtId="164" fontId="8" fillId="0" borderId="32" xfId="0" applyNumberFormat="1" applyFont="1" applyBorder="1" applyAlignment="1">
      <alignment horizontal="center" vertical="center" wrapText="1"/>
    </xf>
    <xf numFmtId="164" fontId="8" fillId="0" borderId="26" xfId="0" applyNumberFormat="1" applyFont="1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20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left" vertical="center" wrapText="1"/>
    </xf>
    <xf numFmtId="0" fontId="3" fillId="4" borderId="2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6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3" borderId="0" xfId="0" applyFont="1" applyFill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/>
    </xf>
    <xf numFmtId="0" fontId="10" fillId="3" borderId="7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center" vertical="center" wrapText="1"/>
    </xf>
    <xf numFmtId="0" fontId="3" fillId="3" borderId="13" xfId="0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center" vertical="center"/>
    </xf>
    <xf numFmtId="0" fontId="3" fillId="3" borderId="22" xfId="0" applyFont="1" applyFill="1" applyBorder="1" applyAlignment="1">
      <alignment horizontal="center" vertical="center"/>
    </xf>
    <xf numFmtId="0" fontId="3" fillId="3" borderId="23" xfId="0" applyFont="1" applyFill="1" applyBorder="1" applyAlignment="1">
      <alignment horizontal="center" vertical="center"/>
    </xf>
    <xf numFmtId="0" fontId="3" fillId="3" borderId="18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3" fillId="3" borderId="11" xfId="0" applyFont="1" applyFill="1" applyBorder="1" applyAlignment="1">
      <alignment horizontal="center" vertical="center"/>
    </xf>
    <xf numFmtId="0" fontId="3" fillId="0" borderId="4" xfId="0" applyFont="1" applyBorder="1" applyAlignment="1">
      <alignment horizontal="left" vertical="top" wrapText="1"/>
    </xf>
    <xf numFmtId="0" fontId="3" fillId="0" borderId="0" xfId="0" applyFont="1" applyAlignment="1">
      <alignment horizontal="left" vertical="top" wrapText="1"/>
    </xf>
    <xf numFmtId="0" fontId="3" fillId="0" borderId="5" xfId="0" applyFont="1" applyBorder="1" applyAlignment="1">
      <alignment horizontal="left" vertical="top" wrapText="1"/>
    </xf>
    <xf numFmtId="0" fontId="2" fillId="3" borderId="34" xfId="0" applyFont="1" applyFill="1" applyBorder="1" applyAlignment="1">
      <alignment horizontal="center" vertical="center" wrapText="1"/>
    </xf>
    <xf numFmtId="0" fontId="2" fillId="3" borderId="39" xfId="0" applyFont="1" applyFill="1" applyBorder="1" applyAlignment="1">
      <alignment horizontal="center" vertical="center" wrapText="1"/>
    </xf>
    <xf numFmtId="0" fontId="2" fillId="3" borderId="41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center"/>
    </xf>
    <xf numFmtId="0" fontId="3" fillId="3" borderId="42" xfId="0" applyFont="1" applyFill="1" applyBorder="1" applyAlignment="1">
      <alignment horizontal="center" vertical="center"/>
    </xf>
    <xf numFmtId="0" fontId="3" fillId="3" borderId="43" xfId="0" applyFont="1" applyFill="1" applyBorder="1" applyAlignment="1">
      <alignment horizontal="center" vertical="center"/>
    </xf>
    <xf numFmtId="0" fontId="3" fillId="3" borderId="44" xfId="0" applyFont="1" applyFill="1" applyBorder="1" applyAlignment="1">
      <alignment horizontal="center" vertical="center"/>
    </xf>
    <xf numFmtId="4" fontId="17" fillId="0" borderId="52" xfId="0" applyNumberFormat="1" applyFont="1" applyBorder="1" applyAlignment="1">
      <alignment horizontal="center" vertical="center" wrapText="1"/>
    </xf>
    <xf numFmtId="4" fontId="17" fillId="0" borderId="53" xfId="0" applyNumberFormat="1" applyFont="1" applyBorder="1" applyAlignment="1">
      <alignment horizontal="center" vertical="center" wrapText="1"/>
    </xf>
    <xf numFmtId="4" fontId="17" fillId="0" borderId="54" xfId="0" applyNumberFormat="1" applyFont="1" applyBorder="1" applyAlignment="1">
      <alignment horizontal="center" vertical="center" wrapText="1"/>
    </xf>
    <xf numFmtId="3" fontId="18" fillId="10" borderId="48" xfId="0" applyNumberFormat="1" applyFont="1" applyFill="1" applyBorder="1" applyAlignment="1">
      <alignment horizontal="center" vertical="center"/>
    </xf>
    <xf numFmtId="3" fontId="18" fillId="10" borderId="46" xfId="0" applyNumberFormat="1" applyFont="1" applyFill="1" applyBorder="1" applyAlignment="1">
      <alignment horizontal="center" vertical="center"/>
    </xf>
    <xf numFmtId="3" fontId="18" fillId="10" borderId="47" xfId="0" applyNumberFormat="1" applyFont="1" applyFill="1" applyBorder="1" applyAlignment="1">
      <alignment horizontal="center" vertical="center"/>
    </xf>
    <xf numFmtId="4" fontId="13" fillId="0" borderId="48" xfId="0" applyNumberFormat="1" applyFont="1" applyBorder="1" applyAlignment="1">
      <alignment horizontal="center" vertical="center" wrapText="1"/>
    </xf>
    <xf numFmtId="4" fontId="13" fillId="0" borderId="46" xfId="0" applyNumberFormat="1" applyFont="1" applyBorder="1" applyAlignment="1">
      <alignment horizontal="center" vertical="center" wrapText="1"/>
    </xf>
    <xf numFmtId="4" fontId="13" fillId="0" borderId="47" xfId="0" applyNumberFormat="1" applyFont="1" applyBorder="1" applyAlignment="1">
      <alignment horizontal="center" vertical="center" wrapText="1"/>
    </xf>
    <xf numFmtId="0" fontId="6" fillId="3" borderId="29" xfId="0" applyFont="1" applyFill="1" applyBorder="1" applyAlignment="1">
      <alignment horizontal="center" vertical="center" wrapText="1"/>
    </xf>
    <xf numFmtId="0" fontId="6" fillId="3" borderId="27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</cellXfs>
  <cellStyles count="2">
    <cellStyle name="Normal" xfId="0" builtinId="0"/>
    <cellStyle name="Normal 2" xfId="1" xr:uid="{A8F2B32A-DD0E-4312-A470-209E01B56969}"/>
  </cellStyles>
  <dxfs count="4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105832</xdr:rowOff>
    </xdr:from>
    <xdr:to>
      <xdr:col>3</xdr:col>
      <xdr:colOff>126638</xdr:colOff>
      <xdr:row>3</xdr:row>
      <xdr:rowOff>36829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2F1F58F4-6523-4333-989E-4D5000D0ED81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5832"/>
          <a:ext cx="2684781" cy="5240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142875</xdr:colOff>
      <xdr:row>13</xdr:row>
      <xdr:rowOff>23814</xdr:rowOff>
    </xdr:from>
    <xdr:to>
      <xdr:col>7</xdr:col>
      <xdr:colOff>547689</xdr:colOff>
      <xdr:row>24</xdr:row>
      <xdr:rowOff>176675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77B975F-BB76-562A-A9DB-ED2643A7D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988469" y="2917033"/>
          <a:ext cx="3476626" cy="25102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105832</xdr:rowOff>
    </xdr:from>
    <xdr:to>
      <xdr:col>3</xdr:col>
      <xdr:colOff>126638</xdr:colOff>
      <xdr:row>3</xdr:row>
      <xdr:rowOff>36829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36E0DFEB-F0F1-4BF5-A81D-C2904FB37055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5832"/>
          <a:ext cx="2679338" cy="5596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3</xdr:col>
      <xdr:colOff>488156</xdr:colOff>
      <xdr:row>13</xdr:row>
      <xdr:rowOff>135380</xdr:rowOff>
    </xdr:from>
    <xdr:to>
      <xdr:col>7</xdr:col>
      <xdr:colOff>297656</xdr:colOff>
      <xdr:row>24</xdr:row>
      <xdr:rowOff>36339</xdr:rowOff>
    </xdr:to>
    <xdr:pic>
      <xdr:nvPicPr>
        <xdr:cNvPr id="5" name="Imagem 4" descr="Uma imagem com interior, balcão, panela, louça&#10;&#10;Descrição gerada automaticamente">
          <a:extLst>
            <a:ext uri="{FF2B5EF4-FFF2-40B4-BE49-F238E27FC236}">
              <a16:creationId xmlns:a16="http://schemas.microsoft.com/office/drawing/2014/main" id="{A9057E31-452E-FC54-25ED-207267657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50" y="3028599"/>
          <a:ext cx="2809875" cy="22583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0</xdr:row>
      <xdr:rowOff>105832</xdr:rowOff>
    </xdr:from>
    <xdr:to>
      <xdr:col>3</xdr:col>
      <xdr:colOff>126638</xdr:colOff>
      <xdr:row>3</xdr:row>
      <xdr:rowOff>36829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BE76C6A6-DE82-4049-938F-5B197D3D902B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05832"/>
          <a:ext cx="2679338" cy="5596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583406</xdr:colOff>
      <xdr:row>12</xdr:row>
      <xdr:rowOff>190500</xdr:rowOff>
    </xdr:from>
    <xdr:to>
      <xdr:col>7</xdr:col>
      <xdr:colOff>425737</xdr:colOff>
      <xdr:row>24</xdr:row>
      <xdr:rowOff>178594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611106C4-8AD5-63AE-312C-CEC1758D1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33687" y="2869406"/>
          <a:ext cx="3330863" cy="25598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D6A2BE-2C5B-4BAA-9407-76521D1FC562}">
  <dimension ref="A1:R65"/>
  <sheetViews>
    <sheetView topLeftCell="A46" zoomScale="80" zoomScaleNormal="80" workbookViewId="0">
      <selection activeCell="A46" sqref="A46:L47"/>
    </sheetView>
  </sheetViews>
  <sheetFormatPr defaultRowHeight="16.5" x14ac:dyDescent="0.25"/>
  <cols>
    <col min="1" max="1" width="20.28515625" style="2" customWidth="1"/>
    <col min="2" max="2" width="13.42578125" style="2" customWidth="1"/>
    <col min="3" max="3" width="8.85546875" style="2" customWidth="1"/>
    <col min="4" max="4" width="11" style="2" customWidth="1"/>
    <col min="5" max="5" width="10" style="2" customWidth="1"/>
    <col min="6" max="6" width="13" style="2" customWidth="1"/>
    <col min="7" max="7" width="12" style="2" customWidth="1"/>
    <col min="8" max="8" width="13.28515625" style="2" customWidth="1"/>
    <col min="9" max="10" width="9.140625" style="2"/>
    <col min="11" max="11" width="11" style="2" customWidth="1"/>
    <col min="12" max="12" width="8.85546875" style="2" customWidth="1"/>
    <col min="13" max="13" width="8.28515625" style="2" customWidth="1"/>
    <col min="14" max="14" width="10.140625" style="2" customWidth="1"/>
    <col min="15" max="15" width="8.7109375" style="2" customWidth="1"/>
    <col min="16" max="16" width="11.7109375" style="2" customWidth="1"/>
    <col min="17" max="16384" width="9.140625" style="2"/>
  </cols>
  <sheetData>
    <row r="1" spans="1:13" x14ac:dyDescent="0.25">
      <c r="A1" s="121" t="s">
        <v>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3"/>
      <c r="M1" s="1"/>
    </row>
    <row r="2" spans="1:13" x14ac:dyDescent="0.25">
      <c r="A2" s="124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6"/>
      <c r="M2" s="3" t="s">
        <v>1</v>
      </c>
    </row>
    <row r="3" spans="1:13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6"/>
      <c r="M3" s="3" t="s">
        <v>2</v>
      </c>
    </row>
    <row r="4" spans="1:13" x14ac:dyDescent="0.25">
      <c r="A4" s="127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9"/>
      <c r="M4" s="3"/>
    </row>
    <row r="5" spans="1:13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4"/>
      <c r="M5" s="3"/>
    </row>
    <row r="6" spans="1:13" x14ac:dyDescent="0.25">
      <c r="A6" s="1"/>
      <c r="B6" s="5"/>
      <c r="C6" s="130"/>
      <c r="D6" s="130"/>
      <c r="E6" s="130"/>
      <c r="F6" s="130" t="s">
        <v>3</v>
      </c>
      <c r="G6" s="130"/>
      <c r="H6" s="131"/>
      <c r="I6" s="132" t="s">
        <v>50</v>
      </c>
      <c r="J6" s="133"/>
      <c r="K6" s="133"/>
      <c r="L6" s="134"/>
      <c r="M6" s="3"/>
    </row>
    <row r="7" spans="1:13" x14ac:dyDescent="0.25">
      <c r="A7" s="1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3"/>
    </row>
    <row r="8" spans="1:13" x14ac:dyDescent="0.25">
      <c r="A8" s="1"/>
      <c r="B8" s="5"/>
      <c r="C8" s="5"/>
      <c r="D8" s="5"/>
      <c r="E8" s="5"/>
      <c r="F8" s="130" t="s">
        <v>4</v>
      </c>
      <c r="G8" s="130"/>
      <c r="H8" s="131"/>
      <c r="I8" s="132" t="s">
        <v>18</v>
      </c>
      <c r="J8" s="133"/>
      <c r="K8" s="133"/>
      <c r="L8" s="134"/>
      <c r="M8" s="3"/>
    </row>
    <row r="9" spans="1:1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3"/>
    </row>
    <row r="10" spans="1:13" x14ac:dyDescent="0.25">
      <c r="A10" s="1"/>
      <c r="B10" s="5"/>
      <c r="C10" s="130"/>
      <c r="D10" s="130"/>
      <c r="E10" s="130"/>
      <c r="F10" s="1"/>
      <c r="G10" s="130" t="s">
        <v>5</v>
      </c>
      <c r="H10" s="131"/>
      <c r="I10" s="132">
        <v>4</v>
      </c>
      <c r="J10" s="133"/>
      <c r="K10" s="133"/>
      <c r="L10" s="134"/>
      <c r="M10" s="1"/>
    </row>
    <row r="11" spans="1:13" ht="17.25" thickBo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ht="25.5" customHeight="1" thickBot="1" x14ac:dyDescent="0.3">
      <c r="A12" s="136" t="s">
        <v>64</v>
      </c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8"/>
      <c r="M12" s="1"/>
    </row>
    <row r="13" spans="1:1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25">
      <c r="A14" s="141" t="s">
        <v>49</v>
      </c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3"/>
      <c r="M14" s="1"/>
    </row>
    <row r="15" spans="1:13" x14ac:dyDescent="0.25">
      <c r="A15" s="144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6"/>
      <c r="M15" s="1"/>
    </row>
    <row r="16" spans="1:13" x14ac:dyDescent="0.25">
      <c r="A16" s="144"/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6"/>
      <c r="M16" s="1"/>
    </row>
    <row r="17" spans="1:15" x14ac:dyDescent="0.25">
      <c r="A17" s="144"/>
      <c r="B17" s="145"/>
      <c r="C17" s="145"/>
      <c r="D17" s="145"/>
      <c r="E17" s="145"/>
      <c r="F17" s="145"/>
      <c r="G17" s="145"/>
      <c r="H17" s="145"/>
      <c r="I17" s="145"/>
      <c r="J17" s="145"/>
      <c r="K17" s="145"/>
      <c r="L17" s="146"/>
      <c r="M17" s="1"/>
    </row>
    <row r="18" spans="1:15" x14ac:dyDescent="0.25">
      <c r="A18" s="144"/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6"/>
      <c r="M18" s="1"/>
    </row>
    <row r="19" spans="1:15" x14ac:dyDescent="0.25">
      <c r="A19" s="144"/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6"/>
      <c r="M19" s="1"/>
    </row>
    <row r="20" spans="1:15" x14ac:dyDescent="0.25">
      <c r="A20" s="144"/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6"/>
      <c r="M20" s="1"/>
    </row>
    <row r="21" spans="1:15" x14ac:dyDescent="0.25">
      <c r="A21" s="144"/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6"/>
      <c r="M21" s="1"/>
    </row>
    <row r="22" spans="1:15" x14ac:dyDescent="0.25">
      <c r="A22" s="144"/>
      <c r="B22" s="145"/>
      <c r="C22" s="145"/>
      <c r="D22" s="145"/>
      <c r="E22" s="145"/>
      <c r="F22" s="145"/>
      <c r="G22" s="145"/>
      <c r="H22" s="145"/>
      <c r="I22" s="145"/>
      <c r="J22" s="145"/>
      <c r="K22" s="145"/>
      <c r="L22" s="146"/>
      <c r="M22" s="1"/>
    </row>
    <row r="23" spans="1:15" x14ac:dyDescent="0.25">
      <c r="A23" s="144"/>
      <c r="B23" s="145"/>
      <c r="C23" s="145"/>
      <c r="D23" s="145"/>
      <c r="E23" s="145"/>
      <c r="F23" s="145"/>
      <c r="G23" s="145"/>
      <c r="H23" s="145"/>
      <c r="I23" s="145"/>
      <c r="J23" s="145"/>
      <c r="K23" s="145"/>
      <c r="L23" s="146"/>
      <c r="M23" s="1"/>
    </row>
    <row r="24" spans="1:15" x14ac:dyDescent="0.2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6"/>
      <c r="M24" s="1"/>
    </row>
    <row r="25" spans="1:15" x14ac:dyDescent="0.25">
      <c r="A25" s="147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9"/>
      <c r="M25" s="1"/>
    </row>
    <row r="26" spans="1:1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5" ht="36.75" customHeight="1" x14ac:dyDescent="0.25">
      <c r="A27" s="150"/>
      <c r="B27" s="150"/>
      <c r="C27" s="6"/>
      <c r="D27" s="150"/>
      <c r="E27" s="150"/>
      <c r="F27" s="154" t="s">
        <v>42</v>
      </c>
      <c r="G27" s="155"/>
      <c r="H27" s="155"/>
      <c r="I27" s="155"/>
      <c r="J27" s="155"/>
      <c r="K27" s="155"/>
      <c r="L27" s="155"/>
      <c r="M27" s="155"/>
      <c r="N27" s="155"/>
      <c r="O27" s="156"/>
    </row>
    <row r="28" spans="1:15" ht="82.5" x14ac:dyDescent="0.25">
      <c r="A28" s="63" t="s">
        <v>24</v>
      </c>
      <c r="B28" s="101" t="s">
        <v>39</v>
      </c>
      <c r="C28" s="101" t="s">
        <v>37</v>
      </c>
      <c r="D28" s="101" t="s">
        <v>55</v>
      </c>
      <c r="E28" s="101" t="s">
        <v>53</v>
      </c>
      <c r="F28" s="102" t="s">
        <v>38</v>
      </c>
      <c r="G28" s="205" t="s">
        <v>25</v>
      </c>
      <c r="H28" s="206" t="s">
        <v>26</v>
      </c>
      <c r="I28" s="205" t="s">
        <v>27</v>
      </c>
      <c r="J28" s="205" t="s">
        <v>28</v>
      </c>
      <c r="K28" s="205" t="s">
        <v>29</v>
      </c>
      <c r="L28" s="205" t="s">
        <v>30</v>
      </c>
      <c r="M28" s="205" t="s">
        <v>31</v>
      </c>
      <c r="N28" s="205" t="s">
        <v>32</v>
      </c>
      <c r="O28" s="205" t="s">
        <v>33</v>
      </c>
    </row>
    <row r="29" spans="1:15" x14ac:dyDescent="0.25">
      <c r="A29" s="14" t="s">
        <v>65</v>
      </c>
      <c r="B29" s="106">
        <v>1000</v>
      </c>
      <c r="C29" s="16" t="s">
        <v>90</v>
      </c>
      <c r="D29" s="11">
        <v>2</v>
      </c>
      <c r="E29" s="61">
        <v>2</v>
      </c>
      <c r="F29" s="8" t="s">
        <v>2</v>
      </c>
      <c r="G29" s="13">
        <f>(31*B29)/100</f>
        <v>310</v>
      </c>
      <c r="H29" s="11">
        <f>+G29*4.1868</f>
        <v>1297.9079999999999</v>
      </c>
      <c r="I29" s="2">
        <v>3</v>
      </c>
      <c r="J29" s="2">
        <v>0</v>
      </c>
      <c r="K29" s="2">
        <v>35</v>
      </c>
      <c r="L29" s="2">
        <v>35</v>
      </c>
      <c r="M29" s="2">
        <v>13</v>
      </c>
      <c r="N29" s="2">
        <v>0.38</v>
      </c>
      <c r="O29" s="21">
        <v>0</v>
      </c>
    </row>
    <row r="30" spans="1:15" ht="16.5" customHeight="1" x14ac:dyDescent="0.25">
      <c r="A30" s="14" t="s">
        <v>21</v>
      </c>
      <c r="B30" s="15">
        <v>25</v>
      </c>
      <c r="C30" s="16" t="s">
        <v>89</v>
      </c>
      <c r="D30" s="17">
        <v>3.39</v>
      </c>
      <c r="E30" s="16">
        <f>+(B30*D30)/1000</f>
        <v>8.4750000000000006E-2</v>
      </c>
      <c r="F30" s="14" t="s">
        <v>2</v>
      </c>
      <c r="G30" s="103">
        <f>(899*B30)/1000</f>
        <v>22.475000000000001</v>
      </c>
      <c r="H30" s="17">
        <f t="shared" ref="H30:H38" si="0">+G30*4.1868</f>
        <v>94.098330000000004</v>
      </c>
      <c r="I30" s="18" t="s">
        <v>92</v>
      </c>
      <c r="J30" s="2">
        <v>3.6</v>
      </c>
      <c r="K30" s="2">
        <v>0</v>
      </c>
      <c r="L30" s="2">
        <v>0</v>
      </c>
      <c r="M30" s="2">
        <v>0</v>
      </c>
      <c r="N30" s="2">
        <v>0</v>
      </c>
      <c r="O30" s="21">
        <v>0</v>
      </c>
    </row>
    <row r="31" spans="1:15" x14ac:dyDescent="0.25">
      <c r="A31" s="22" t="s">
        <v>19</v>
      </c>
      <c r="B31" s="108">
        <v>1000</v>
      </c>
      <c r="C31" s="16" t="s">
        <v>89</v>
      </c>
      <c r="D31" s="17">
        <v>0</v>
      </c>
      <c r="E31" s="16">
        <f t="shared" ref="E31:E34" si="1">+B31*D31</f>
        <v>0</v>
      </c>
      <c r="F31" s="14" t="s">
        <v>2</v>
      </c>
      <c r="G31" s="19">
        <v>0</v>
      </c>
      <c r="H31" s="17">
        <f t="shared" si="0"/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1">
        <v>0</v>
      </c>
    </row>
    <row r="32" spans="1:15" x14ac:dyDescent="0.25">
      <c r="A32" s="14" t="s">
        <v>20</v>
      </c>
      <c r="B32" s="23">
        <v>10</v>
      </c>
      <c r="C32" s="16" t="s">
        <v>90</v>
      </c>
      <c r="D32" s="17">
        <v>0.35</v>
      </c>
      <c r="E32" s="16">
        <f>+(B32*D32)/1000</f>
        <v>3.5000000000000001E-3</v>
      </c>
      <c r="F32" s="14" t="s">
        <v>2</v>
      </c>
      <c r="G32" s="19">
        <v>0</v>
      </c>
      <c r="H32" s="17">
        <f t="shared" si="0"/>
        <v>0</v>
      </c>
      <c r="I32" s="120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1">
        <v>10</v>
      </c>
    </row>
    <row r="33" spans="1:18" x14ac:dyDescent="0.25">
      <c r="A33" s="14" t="s">
        <v>46</v>
      </c>
      <c r="B33" s="15">
        <v>100</v>
      </c>
      <c r="C33" s="16" t="s">
        <v>22</v>
      </c>
      <c r="D33" s="17">
        <v>0.99</v>
      </c>
      <c r="E33" s="16">
        <f>+(B33*D33)/1000</f>
        <v>9.9000000000000005E-2</v>
      </c>
      <c r="F33" s="14" t="s">
        <v>2</v>
      </c>
      <c r="G33" s="19">
        <f>(18*B33)/100</f>
        <v>18</v>
      </c>
      <c r="H33" s="17">
        <f t="shared" si="0"/>
        <v>75.362399999999994</v>
      </c>
      <c r="I33" s="18">
        <v>0.2</v>
      </c>
      <c r="J33" s="18">
        <v>0</v>
      </c>
      <c r="K33" s="18">
        <v>2.4</v>
      </c>
      <c r="L33" s="2">
        <v>1.7</v>
      </c>
      <c r="M33" s="18">
        <v>1.4</v>
      </c>
      <c r="N33" s="2">
        <v>1</v>
      </c>
      <c r="O33" s="98">
        <v>0.3</v>
      </c>
    </row>
    <row r="34" spans="1:18" x14ac:dyDescent="0.25">
      <c r="A34" s="14" t="s">
        <v>67</v>
      </c>
      <c r="B34" s="15">
        <v>4</v>
      </c>
      <c r="C34" s="16" t="s">
        <v>69</v>
      </c>
      <c r="D34" s="17">
        <v>0.35</v>
      </c>
      <c r="E34" s="16">
        <f t="shared" si="1"/>
        <v>1.4</v>
      </c>
      <c r="F34" s="14" t="s">
        <v>1</v>
      </c>
      <c r="G34" s="19">
        <f>(150*B34)</f>
        <v>600</v>
      </c>
      <c r="H34" s="17">
        <f t="shared" si="0"/>
        <v>2512.08</v>
      </c>
      <c r="I34" s="18">
        <v>25.92</v>
      </c>
      <c r="J34" s="18">
        <v>6.48</v>
      </c>
      <c r="K34" s="18">
        <v>0</v>
      </c>
      <c r="L34" s="2">
        <v>0</v>
      </c>
      <c r="M34" s="18">
        <v>0</v>
      </c>
      <c r="N34" s="2">
        <v>31.2</v>
      </c>
      <c r="O34" s="98">
        <v>0.96</v>
      </c>
    </row>
    <row r="35" spans="1:18" x14ac:dyDescent="0.25">
      <c r="A35" s="14" t="s">
        <v>66</v>
      </c>
      <c r="B35" s="15">
        <v>25</v>
      </c>
      <c r="C35" s="16" t="s">
        <v>90</v>
      </c>
      <c r="D35" s="17">
        <v>1.39</v>
      </c>
      <c r="E35" s="16">
        <f>+(B35*D35)/1000</f>
        <v>3.4750000000000003E-2</v>
      </c>
      <c r="F35" s="14" t="s">
        <v>2</v>
      </c>
      <c r="G35" s="19">
        <f>(390*B35)/100</f>
        <v>97.5</v>
      </c>
      <c r="H35" s="17">
        <f t="shared" si="0"/>
        <v>408.21299999999997</v>
      </c>
      <c r="I35" s="18">
        <v>0</v>
      </c>
      <c r="J35" s="18">
        <v>0</v>
      </c>
      <c r="K35" s="18">
        <v>99.3</v>
      </c>
      <c r="L35" s="2">
        <v>99.3</v>
      </c>
      <c r="M35" s="18">
        <v>0</v>
      </c>
      <c r="N35" s="2">
        <v>0</v>
      </c>
      <c r="O35" s="98">
        <v>0</v>
      </c>
    </row>
    <row r="36" spans="1:18" x14ac:dyDescent="0.25">
      <c r="A36" s="14" t="s">
        <v>47</v>
      </c>
      <c r="B36" s="15">
        <v>0.01</v>
      </c>
      <c r="C36" s="16" t="s">
        <v>22</v>
      </c>
      <c r="D36" s="17">
        <v>5</v>
      </c>
      <c r="E36" s="16">
        <f>+(B36*D36)</f>
        <v>0.05</v>
      </c>
      <c r="F36" s="14" t="s">
        <v>2</v>
      </c>
      <c r="G36" s="19">
        <f>72*B36</f>
        <v>0.72</v>
      </c>
      <c r="H36" s="17">
        <f t="shared" si="0"/>
        <v>3.0144959999999998</v>
      </c>
      <c r="I36" s="18">
        <v>0.06</v>
      </c>
      <c r="J36" s="2">
        <v>0.1</v>
      </c>
      <c r="K36" s="2">
        <v>1.1299999999999999</v>
      </c>
      <c r="L36" s="2">
        <v>0.13</v>
      </c>
      <c r="M36" s="2">
        <v>0.3</v>
      </c>
      <c r="N36" s="2">
        <v>0.38</v>
      </c>
      <c r="O36" s="99">
        <v>0</v>
      </c>
    </row>
    <row r="37" spans="1:18" x14ac:dyDescent="0.25">
      <c r="A37" s="14" t="s">
        <v>83</v>
      </c>
      <c r="B37" s="15">
        <v>0.01</v>
      </c>
      <c r="C37" s="16" t="s">
        <v>22</v>
      </c>
      <c r="D37" s="17">
        <v>6.45</v>
      </c>
      <c r="E37" s="16">
        <f>+D37*B37</f>
        <v>6.4500000000000002E-2</v>
      </c>
      <c r="F37" s="14" t="s">
        <v>2</v>
      </c>
      <c r="G37" s="19">
        <f>(565*B37)/100</f>
        <v>5.6500000000000002E-2</v>
      </c>
      <c r="H37" s="17">
        <f t="shared" si="0"/>
        <v>0.23655419999999999</v>
      </c>
      <c r="I37" s="18">
        <v>5.5</v>
      </c>
      <c r="J37" s="2">
        <v>0.81</v>
      </c>
      <c r="K37" s="2">
        <v>0.64</v>
      </c>
      <c r="L37" s="2">
        <v>0.04</v>
      </c>
      <c r="M37" s="2">
        <v>0.55000000000000004</v>
      </c>
      <c r="N37" s="2">
        <v>2.2000000000000002</v>
      </c>
      <c r="O37" s="99">
        <v>0.01</v>
      </c>
    </row>
    <row r="38" spans="1:18" x14ac:dyDescent="0.25">
      <c r="A38" s="24" t="s">
        <v>84</v>
      </c>
      <c r="B38" s="25">
        <v>0.01</v>
      </c>
      <c r="C38" s="26" t="s">
        <v>22</v>
      </c>
      <c r="D38" s="27">
        <v>8.7200000000000006</v>
      </c>
      <c r="E38" s="26">
        <f>+D38*B38</f>
        <v>8.7200000000000014E-2</v>
      </c>
      <c r="F38" s="24" t="s">
        <v>2</v>
      </c>
      <c r="G38" s="29">
        <f>(565*B38)/100</f>
        <v>5.6500000000000002E-2</v>
      </c>
      <c r="H38" s="27">
        <f t="shared" si="0"/>
        <v>0.23655419999999999</v>
      </c>
      <c r="I38" s="28">
        <v>1.37</v>
      </c>
      <c r="J38" s="30">
        <v>0.3</v>
      </c>
      <c r="K38" s="30">
        <v>1</v>
      </c>
      <c r="L38" s="30">
        <v>1.93</v>
      </c>
      <c r="M38" s="30">
        <v>1</v>
      </c>
      <c r="N38" s="30">
        <v>0</v>
      </c>
      <c r="O38" s="100">
        <v>0</v>
      </c>
    </row>
    <row r="39" spans="1:18" ht="17.25" thickBot="1" x14ac:dyDescent="0.3">
      <c r="A39" s="31"/>
      <c r="B39" s="16"/>
      <c r="C39" s="16"/>
      <c r="D39" s="32"/>
      <c r="E39" s="32"/>
      <c r="F39" s="31"/>
      <c r="I39" s="18"/>
      <c r="K39" s="18"/>
      <c r="L39" s="18"/>
      <c r="N39" s="18"/>
      <c r="O39" s="18"/>
    </row>
    <row r="40" spans="1:18" ht="35.25" customHeight="1" thickBot="1" x14ac:dyDescent="0.3">
      <c r="A40" s="139"/>
      <c r="B40" s="139"/>
      <c r="C40" s="31"/>
      <c r="D40" s="157" t="s">
        <v>40</v>
      </c>
      <c r="E40" s="158"/>
      <c r="F40" s="159"/>
      <c r="G40" s="33">
        <f>SUM(G29:G38)</f>
        <v>1048.8079999999998</v>
      </c>
      <c r="H40" s="33">
        <f t="shared" ref="H40:O40" si="2">SUM(H29:H36)</f>
        <v>4390.6762259999996</v>
      </c>
      <c r="I40" s="33">
        <f t="shared" si="2"/>
        <v>29.18</v>
      </c>
      <c r="J40" s="33">
        <f t="shared" si="2"/>
        <v>10.18</v>
      </c>
      <c r="K40" s="33">
        <f t="shared" si="2"/>
        <v>137.82999999999998</v>
      </c>
      <c r="L40" s="33">
        <f>SUM(L29:L38)</f>
        <v>138.1</v>
      </c>
      <c r="M40" s="33">
        <f t="shared" si="2"/>
        <v>14.700000000000001</v>
      </c>
      <c r="N40" s="33">
        <f t="shared" si="2"/>
        <v>32.96</v>
      </c>
      <c r="O40" s="33">
        <f t="shared" si="2"/>
        <v>11.260000000000002</v>
      </c>
    </row>
    <row r="41" spans="1:18" ht="15.75" customHeight="1" thickBot="1" x14ac:dyDescent="0.3">
      <c r="A41" s="140"/>
      <c r="B41" s="140"/>
      <c r="C41" s="31"/>
      <c r="D41" s="34"/>
      <c r="E41" s="34"/>
      <c r="F41" s="35"/>
      <c r="G41" s="2" t="s">
        <v>34</v>
      </c>
      <c r="H41" s="2" t="s">
        <v>35</v>
      </c>
      <c r="I41" s="2" t="s">
        <v>36</v>
      </c>
      <c r="J41" s="2" t="s">
        <v>36</v>
      </c>
      <c r="K41" s="2" t="s">
        <v>36</v>
      </c>
      <c r="L41" s="2" t="s">
        <v>36</v>
      </c>
      <c r="M41" s="2" t="s">
        <v>36</v>
      </c>
      <c r="N41" s="2" t="s">
        <v>36</v>
      </c>
      <c r="O41" s="2" t="s">
        <v>36</v>
      </c>
    </row>
    <row r="42" spans="1:18" ht="35.25" customHeight="1" thickBot="1" x14ac:dyDescent="0.3">
      <c r="A42" s="31"/>
      <c r="B42" s="31"/>
      <c r="C42" s="31"/>
      <c r="D42" s="157" t="s">
        <v>44</v>
      </c>
      <c r="E42" s="158"/>
      <c r="F42" s="158"/>
      <c r="G42" s="36">
        <f>+G40/4</f>
        <v>262.20199999999994</v>
      </c>
      <c r="H42" s="36">
        <f t="shared" ref="H42:O42" si="3">+H40/4</f>
        <v>1097.6690564999999</v>
      </c>
      <c r="I42" s="36">
        <f t="shared" si="3"/>
        <v>7.2949999999999999</v>
      </c>
      <c r="J42" s="36">
        <f t="shared" si="3"/>
        <v>2.5449999999999999</v>
      </c>
      <c r="K42" s="36">
        <f t="shared" si="3"/>
        <v>34.457499999999996</v>
      </c>
      <c r="L42" s="36">
        <f t="shared" si="3"/>
        <v>34.524999999999999</v>
      </c>
      <c r="M42" s="36">
        <f t="shared" si="3"/>
        <v>3.6750000000000003</v>
      </c>
      <c r="N42" s="36">
        <f t="shared" si="3"/>
        <v>8.24</v>
      </c>
      <c r="O42" s="36">
        <f t="shared" si="3"/>
        <v>2.8150000000000004</v>
      </c>
    </row>
    <row r="43" spans="1:18" ht="45.75" customHeight="1" x14ac:dyDescent="0.25">
      <c r="A43" s="31"/>
      <c r="B43" s="31"/>
      <c r="C43" s="31"/>
      <c r="D43" s="51"/>
      <c r="E43" s="51"/>
      <c r="F43" s="51"/>
      <c r="G43" s="39"/>
      <c r="H43" s="39"/>
      <c r="I43" s="39"/>
      <c r="J43" s="39"/>
      <c r="K43" s="39"/>
      <c r="L43" s="39"/>
      <c r="M43" s="39"/>
      <c r="N43" s="39"/>
      <c r="O43" s="39"/>
    </row>
    <row r="44" spans="1:18" ht="17.25" thickBo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18" ht="35.25" customHeight="1" thickBot="1" x14ac:dyDescent="0.3">
      <c r="A45" s="157" t="s">
        <v>6</v>
      </c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9"/>
      <c r="M45" s="1"/>
      <c r="P45" s="37"/>
      <c r="Q45" s="37"/>
      <c r="R45" s="37"/>
    </row>
    <row r="46" spans="1:18" ht="27" customHeight="1" x14ac:dyDescent="0.25">
      <c r="A46" s="183" t="s">
        <v>95</v>
      </c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5"/>
      <c r="M46" s="1"/>
      <c r="P46" s="38"/>
      <c r="Q46" s="50"/>
      <c r="R46" s="50"/>
    </row>
    <row r="47" spans="1:18" ht="141.75" customHeight="1" thickBot="1" x14ac:dyDescent="0.3">
      <c r="A47" s="183"/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5"/>
      <c r="M47" s="1"/>
    </row>
    <row r="48" spans="1:18" ht="26.25" customHeight="1" thickBot="1" x14ac:dyDescent="0.3">
      <c r="A48" s="151" t="s">
        <v>7</v>
      </c>
      <c r="B48" s="153"/>
      <c r="C48" s="151"/>
      <c r="D48" s="152"/>
      <c r="E48" s="153"/>
      <c r="F48" s="151" t="s">
        <v>23</v>
      </c>
      <c r="G48" s="153"/>
      <c r="H48" s="151"/>
      <c r="I48" s="152"/>
      <c r="J48" s="152"/>
      <c r="K48" s="152"/>
      <c r="L48" s="153"/>
      <c r="M48" s="1"/>
    </row>
    <row r="49" spans="1:13" ht="17.25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1:13" ht="13.5" customHeight="1" thickTop="1" x14ac:dyDescent="0.25">
      <c r="A50" s="1"/>
      <c r="B50" s="1"/>
      <c r="C50" s="1"/>
      <c r="D50" s="1"/>
      <c r="E50" s="1"/>
      <c r="F50" s="1"/>
      <c r="G50" s="160" t="s">
        <v>8</v>
      </c>
      <c r="H50" s="174" t="s">
        <v>9</v>
      </c>
      <c r="I50" s="175"/>
      <c r="J50" s="176"/>
      <c r="K50" s="45">
        <f>SUM(E29:E38)</f>
        <v>3.8236999999999997</v>
      </c>
      <c r="L50" s="1"/>
      <c r="M50" s="1"/>
    </row>
    <row r="51" spans="1:13" x14ac:dyDescent="0.25">
      <c r="A51" s="1"/>
      <c r="B51" s="1"/>
      <c r="C51" s="1"/>
      <c r="D51" s="1"/>
      <c r="E51" s="1"/>
      <c r="F51" s="1"/>
      <c r="G51" s="161"/>
      <c r="H51" s="180" t="s">
        <v>10</v>
      </c>
      <c r="I51" s="181"/>
      <c r="J51" s="182"/>
      <c r="K51" s="46">
        <v>0.25</v>
      </c>
      <c r="L51" s="1"/>
      <c r="M51" s="1"/>
    </row>
    <row r="52" spans="1:13" x14ac:dyDescent="0.25">
      <c r="A52" s="1"/>
      <c r="B52" s="1"/>
      <c r="C52" s="1"/>
      <c r="D52" s="1"/>
      <c r="E52" s="1"/>
      <c r="F52" s="1"/>
      <c r="G52" s="161"/>
      <c r="H52" s="180" t="s">
        <v>11</v>
      </c>
      <c r="I52" s="181"/>
      <c r="J52" s="182"/>
      <c r="K52" s="47">
        <f>1/K51</f>
        <v>4</v>
      </c>
      <c r="L52" s="1"/>
      <c r="M52" s="1"/>
    </row>
    <row r="53" spans="1:13" x14ac:dyDescent="0.25">
      <c r="A53" s="1"/>
      <c r="B53" s="1"/>
      <c r="C53" s="1"/>
      <c r="D53" s="1"/>
      <c r="E53" s="1"/>
      <c r="F53" s="1"/>
      <c r="G53" s="161"/>
      <c r="H53" s="180" t="s">
        <v>12</v>
      </c>
      <c r="I53" s="181"/>
      <c r="J53" s="182"/>
      <c r="K53" s="48">
        <f>K50*K52</f>
        <v>15.294799999999999</v>
      </c>
      <c r="L53" s="40"/>
      <c r="M53" s="1"/>
    </row>
    <row r="54" spans="1:13" x14ac:dyDescent="0.25">
      <c r="A54" s="1"/>
      <c r="B54" s="1"/>
      <c r="C54" s="1"/>
      <c r="D54" s="1"/>
      <c r="E54" s="1"/>
      <c r="F54" s="1"/>
      <c r="G54" s="161"/>
      <c r="H54" s="180" t="s">
        <v>13</v>
      </c>
      <c r="I54" s="181"/>
      <c r="J54" s="182"/>
      <c r="K54" s="48">
        <f>K53-K50</f>
        <v>11.4711</v>
      </c>
      <c r="L54" s="1"/>
      <c r="M54" s="1"/>
    </row>
    <row r="55" spans="1:13" x14ac:dyDescent="0.25">
      <c r="A55" s="1"/>
      <c r="B55" s="1"/>
      <c r="C55" s="1"/>
      <c r="D55" s="1"/>
      <c r="E55" s="1"/>
      <c r="F55" s="1"/>
      <c r="G55" s="161"/>
      <c r="H55" s="180" t="s">
        <v>14</v>
      </c>
      <c r="I55" s="181"/>
      <c r="J55" s="182"/>
      <c r="K55" s="46">
        <v>0.13</v>
      </c>
      <c r="L55" s="1"/>
      <c r="M55" s="1"/>
    </row>
    <row r="56" spans="1:13" ht="17.25" thickBot="1" x14ac:dyDescent="0.3">
      <c r="A56" s="1"/>
      <c r="B56" s="1"/>
      <c r="C56" s="1"/>
      <c r="D56" s="1"/>
      <c r="E56" s="1"/>
      <c r="F56" s="1"/>
      <c r="G56" s="162"/>
      <c r="H56" s="177" t="s">
        <v>58</v>
      </c>
      <c r="I56" s="178"/>
      <c r="J56" s="179"/>
      <c r="K56" s="49">
        <f>K53*(1+K55)/2</f>
        <v>8.6415619999999986</v>
      </c>
      <c r="L56" s="1"/>
      <c r="M56" s="1"/>
    </row>
    <row r="57" spans="1:13" ht="17.25" thickTop="1" x14ac:dyDescent="0.25">
      <c r="A57" s="1"/>
      <c r="B57" s="1"/>
      <c r="C57" s="1"/>
      <c r="D57" s="1"/>
      <c r="E57" s="1"/>
      <c r="F57" s="1"/>
      <c r="G57" s="41"/>
      <c r="H57" s="135"/>
      <c r="I57" s="135"/>
      <c r="J57" s="135"/>
      <c r="K57" s="53"/>
      <c r="L57" s="1"/>
      <c r="M57" s="1"/>
    </row>
    <row r="58" spans="1:13" x14ac:dyDescent="0.25">
      <c r="A58" s="1"/>
      <c r="B58" s="170"/>
      <c r="C58" s="171"/>
      <c r="D58" s="1"/>
      <c r="E58" s="1"/>
      <c r="F58" s="1"/>
      <c r="G58" s="169"/>
      <c r="H58" s="135"/>
      <c r="I58" s="135"/>
      <c r="J58" s="135"/>
      <c r="K58" s="53"/>
      <c r="L58" s="1"/>
      <c r="M58" s="1"/>
    </row>
    <row r="59" spans="1:13" x14ac:dyDescent="0.25">
      <c r="A59" s="1"/>
      <c r="B59" s="172" t="s">
        <v>16</v>
      </c>
      <c r="C59" s="172"/>
      <c r="D59" s="1"/>
      <c r="E59" s="1"/>
      <c r="F59" s="59" t="s">
        <v>17</v>
      </c>
      <c r="G59" s="169"/>
      <c r="H59" s="135"/>
      <c r="I59" s="135"/>
      <c r="J59" s="135"/>
      <c r="K59" s="53"/>
      <c r="L59" s="1"/>
      <c r="M59" s="1"/>
    </row>
    <row r="60" spans="1:13" x14ac:dyDescent="0.25">
      <c r="A60" s="1"/>
      <c r="B60" s="173"/>
      <c r="C60" s="173"/>
      <c r="D60" s="1"/>
      <c r="E60" s="1"/>
      <c r="F60" s="1"/>
      <c r="G60" s="169"/>
      <c r="H60" s="135"/>
      <c r="I60" s="135"/>
      <c r="J60" s="135"/>
      <c r="K60" s="43"/>
      <c r="L60" s="1"/>
      <c r="M60" s="1"/>
    </row>
    <row r="61" spans="1:1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x14ac:dyDescent="0.25">
      <c r="A62" s="163" t="s">
        <v>48</v>
      </c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5"/>
      <c r="M62" s="1"/>
    </row>
    <row r="63" spans="1:13" ht="62.25" customHeight="1" x14ac:dyDescent="0.25">
      <c r="A63" s="166"/>
      <c r="B63" s="167"/>
      <c r="C63" s="167"/>
      <c r="D63" s="167"/>
      <c r="E63" s="167"/>
      <c r="F63" s="167"/>
      <c r="G63" s="167"/>
      <c r="H63" s="167"/>
      <c r="I63" s="167"/>
      <c r="J63" s="167"/>
      <c r="K63" s="167"/>
      <c r="L63" s="168"/>
      <c r="M63" s="1"/>
    </row>
    <row r="64" spans="1:1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1:1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</sheetData>
  <mergeCells count="40">
    <mergeCell ref="D42:F42"/>
    <mergeCell ref="H50:J50"/>
    <mergeCell ref="H56:J56"/>
    <mergeCell ref="A45:L45"/>
    <mergeCell ref="H53:J53"/>
    <mergeCell ref="H54:J54"/>
    <mergeCell ref="H55:J55"/>
    <mergeCell ref="A46:L47"/>
    <mergeCell ref="A48:B48"/>
    <mergeCell ref="H51:J51"/>
    <mergeCell ref="H52:J52"/>
    <mergeCell ref="A62:L63"/>
    <mergeCell ref="G58:G60"/>
    <mergeCell ref="B58:C58"/>
    <mergeCell ref="H58:J58"/>
    <mergeCell ref="B59:C60"/>
    <mergeCell ref="H59:J59"/>
    <mergeCell ref="H60:J60"/>
    <mergeCell ref="H57:J57"/>
    <mergeCell ref="C10:E10"/>
    <mergeCell ref="I10:L10"/>
    <mergeCell ref="A12:L12"/>
    <mergeCell ref="G10:H10"/>
    <mergeCell ref="A40:B40"/>
    <mergeCell ref="A41:B41"/>
    <mergeCell ref="A14:L25"/>
    <mergeCell ref="A27:B27"/>
    <mergeCell ref="D27:E27"/>
    <mergeCell ref="C48:E48"/>
    <mergeCell ref="F48:G48"/>
    <mergeCell ref="H48:L48"/>
    <mergeCell ref="F27:O27"/>
    <mergeCell ref="D40:F40"/>
    <mergeCell ref="G50:G56"/>
    <mergeCell ref="A1:L4"/>
    <mergeCell ref="C6:E6"/>
    <mergeCell ref="F6:H6"/>
    <mergeCell ref="I6:L6"/>
    <mergeCell ref="F8:H8"/>
    <mergeCell ref="I8:L8"/>
  </mergeCells>
  <conditionalFormatting sqref="C28 F29:F39">
    <cfRule type="cellIs" dxfId="3" priority="3" stopIfTrue="1" operator="equal">
      <formula>"Sim"</formula>
    </cfRule>
  </conditionalFormatting>
  <dataValidations disablePrompts="1" count="1">
    <dataValidation type="list" showInputMessage="1" showErrorMessage="1" sqref="C28 F29:F39" xr:uid="{09C52ED1-3D22-4717-B095-547EC203C9D8}">
      <formula1>$M$2:$M$4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E276B6-6DBB-4EAE-B5D7-093C4B405FFC}">
  <dimension ref="A1:AC65"/>
  <sheetViews>
    <sheetView tabSelected="1" topLeftCell="A12" zoomScale="80" zoomScaleNormal="80" workbookViewId="0">
      <selection activeCell="A45" sqref="A45:L45"/>
    </sheetView>
  </sheetViews>
  <sheetFormatPr defaultRowHeight="16.5" x14ac:dyDescent="0.25"/>
  <cols>
    <col min="1" max="1" width="20.28515625" style="2" customWidth="1"/>
    <col min="2" max="2" width="13.42578125" style="2" customWidth="1"/>
    <col min="3" max="3" width="8.85546875" style="2" customWidth="1"/>
    <col min="4" max="4" width="9.7109375" style="2" customWidth="1"/>
    <col min="5" max="5" width="11.85546875" style="2" customWidth="1"/>
    <col min="6" max="6" width="11.5703125" style="2" customWidth="1"/>
    <col min="7" max="7" width="12" style="2" customWidth="1"/>
    <col min="8" max="8" width="13.28515625" style="2" customWidth="1"/>
    <col min="9" max="10" width="9.140625" style="2"/>
    <col min="11" max="11" width="11" style="2" customWidth="1"/>
    <col min="12" max="12" width="8.85546875" style="2" customWidth="1"/>
    <col min="13" max="13" width="8.28515625" style="2" customWidth="1"/>
    <col min="14" max="14" width="10.140625" style="2" customWidth="1"/>
    <col min="15" max="15" width="8.7109375" style="2" customWidth="1"/>
    <col min="16" max="16384" width="9.140625" style="2"/>
  </cols>
  <sheetData>
    <row r="1" spans="1:13" x14ac:dyDescent="0.25">
      <c r="A1" s="121" t="s">
        <v>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3"/>
      <c r="M1" s="1"/>
    </row>
    <row r="2" spans="1:13" x14ac:dyDescent="0.25">
      <c r="A2" s="124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6"/>
      <c r="M2" s="3" t="s">
        <v>1</v>
      </c>
    </row>
    <row r="3" spans="1:13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6"/>
      <c r="M3" s="3" t="s">
        <v>2</v>
      </c>
    </row>
    <row r="4" spans="1:13" x14ac:dyDescent="0.25">
      <c r="A4" s="127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9"/>
      <c r="M4" s="3"/>
    </row>
    <row r="5" spans="1:13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4"/>
      <c r="M5" s="3"/>
    </row>
    <row r="6" spans="1:13" x14ac:dyDescent="0.25">
      <c r="A6" s="1"/>
      <c r="B6" s="5"/>
      <c r="C6" s="130"/>
      <c r="D6" s="130"/>
      <c r="E6" s="130"/>
      <c r="F6" s="130" t="s">
        <v>3</v>
      </c>
      <c r="G6" s="130"/>
      <c r="H6" s="131"/>
      <c r="I6" s="132" t="s">
        <v>50</v>
      </c>
      <c r="J6" s="133"/>
      <c r="K6" s="133"/>
      <c r="L6" s="134"/>
      <c r="M6" s="3"/>
    </row>
    <row r="7" spans="1:13" x14ac:dyDescent="0.25">
      <c r="A7" s="1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3"/>
    </row>
    <row r="8" spans="1:13" x14ac:dyDescent="0.25">
      <c r="A8" s="1"/>
      <c r="B8" s="5"/>
      <c r="C8" s="5"/>
      <c r="D8" s="5"/>
      <c r="E8" s="5"/>
      <c r="F8" s="130" t="s">
        <v>4</v>
      </c>
      <c r="G8" s="130"/>
      <c r="H8" s="131"/>
      <c r="I8" s="132" t="s">
        <v>41</v>
      </c>
      <c r="J8" s="133"/>
      <c r="K8" s="133"/>
      <c r="L8" s="134"/>
      <c r="M8" s="3"/>
    </row>
    <row r="9" spans="1:1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3"/>
    </row>
    <row r="10" spans="1:13" x14ac:dyDescent="0.25">
      <c r="A10" s="1"/>
      <c r="B10" s="5"/>
      <c r="C10" s="130"/>
      <c r="D10" s="130"/>
      <c r="E10" s="130"/>
      <c r="F10" s="1"/>
      <c r="G10" s="130" t="s">
        <v>5</v>
      </c>
      <c r="H10" s="131"/>
      <c r="I10" s="132">
        <v>2</v>
      </c>
      <c r="J10" s="133"/>
      <c r="K10" s="133"/>
      <c r="L10" s="134"/>
      <c r="M10" s="1"/>
    </row>
    <row r="11" spans="1:13" ht="17.25" thickBo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ht="25.5" customHeight="1" thickBot="1" x14ac:dyDescent="0.3">
      <c r="A12" s="136" t="s">
        <v>81</v>
      </c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8"/>
      <c r="M12" s="1"/>
    </row>
    <row r="13" spans="1:1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25">
      <c r="A14" s="141" t="s">
        <v>49</v>
      </c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3"/>
      <c r="M14" s="1"/>
    </row>
    <row r="15" spans="1:13" x14ac:dyDescent="0.25">
      <c r="A15" s="144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6"/>
      <c r="M15" s="1"/>
    </row>
    <row r="16" spans="1:13" x14ac:dyDescent="0.25">
      <c r="A16" s="144"/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6"/>
      <c r="M16" s="1"/>
    </row>
    <row r="17" spans="1:15" x14ac:dyDescent="0.25">
      <c r="A17" s="144"/>
      <c r="B17" s="145"/>
      <c r="C17" s="145"/>
      <c r="D17" s="145"/>
      <c r="E17" s="145"/>
      <c r="F17" s="145"/>
      <c r="G17" s="145"/>
      <c r="H17" s="145"/>
      <c r="I17" s="145"/>
      <c r="J17" s="145"/>
      <c r="K17" s="145"/>
      <c r="L17" s="146"/>
      <c r="M17" s="1"/>
    </row>
    <row r="18" spans="1:15" x14ac:dyDescent="0.25">
      <c r="A18" s="144"/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6"/>
      <c r="M18" s="1"/>
    </row>
    <row r="19" spans="1:15" x14ac:dyDescent="0.25">
      <c r="A19" s="144"/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6"/>
      <c r="M19" s="1"/>
    </row>
    <row r="20" spans="1:15" x14ac:dyDescent="0.25">
      <c r="A20" s="144"/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6"/>
      <c r="M20" s="1"/>
    </row>
    <row r="21" spans="1:15" x14ac:dyDescent="0.25">
      <c r="A21" s="144"/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6"/>
      <c r="M21" s="1"/>
    </row>
    <row r="22" spans="1:15" x14ac:dyDescent="0.25">
      <c r="A22" s="144"/>
      <c r="B22" s="145"/>
      <c r="C22" s="145"/>
      <c r="D22" s="145"/>
      <c r="E22" s="145"/>
      <c r="F22" s="145"/>
      <c r="G22" s="145"/>
      <c r="H22" s="145"/>
      <c r="I22" s="145"/>
      <c r="J22" s="145"/>
      <c r="K22" s="145"/>
      <c r="L22" s="146"/>
      <c r="M22" s="1"/>
    </row>
    <row r="23" spans="1:15" x14ac:dyDescent="0.25">
      <c r="A23" s="144"/>
      <c r="B23" s="145"/>
      <c r="C23" s="145"/>
      <c r="D23" s="145"/>
      <c r="E23" s="145"/>
      <c r="F23" s="145"/>
      <c r="G23" s="145"/>
      <c r="H23" s="145"/>
      <c r="I23" s="145"/>
      <c r="J23" s="145"/>
      <c r="K23" s="145"/>
      <c r="L23" s="146"/>
      <c r="M23" s="1"/>
    </row>
    <row r="24" spans="1:15" x14ac:dyDescent="0.2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6"/>
      <c r="M24" s="1"/>
    </row>
    <row r="25" spans="1:15" x14ac:dyDescent="0.25">
      <c r="A25" s="147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9"/>
      <c r="M25" s="1"/>
    </row>
    <row r="26" spans="1:1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5" ht="36.75" customHeight="1" x14ac:dyDescent="0.25">
      <c r="A27" s="150"/>
      <c r="B27" s="150"/>
      <c r="C27" s="6"/>
      <c r="D27" s="150"/>
      <c r="E27" s="150"/>
      <c r="F27" s="132" t="s">
        <v>42</v>
      </c>
      <c r="G27" s="133"/>
      <c r="H27" s="133"/>
      <c r="I27" s="133"/>
      <c r="J27" s="133"/>
      <c r="K27" s="133"/>
      <c r="L27" s="133"/>
      <c r="M27" s="133"/>
      <c r="N27" s="133"/>
      <c r="O27" s="134"/>
    </row>
    <row r="28" spans="1:15" ht="82.5" x14ac:dyDescent="0.25">
      <c r="A28" s="96" t="s">
        <v>24</v>
      </c>
      <c r="B28" s="7" t="s">
        <v>39</v>
      </c>
      <c r="C28" s="7" t="s">
        <v>37</v>
      </c>
      <c r="D28" s="7" t="s">
        <v>55</v>
      </c>
      <c r="E28" s="7" t="s">
        <v>57</v>
      </c>
      <c r="F28" s="7" t="s">
        <v>38</v>
      </c>
      <c r="G28" s="204" t="s">
        <v>25</v>
      </c>
      <c r="H28" s="204" t="s">
        <v>26</v>
      </c>
      <c r="I28" s="204" t="s">
        <v>27</v>
      </c>
      <c r="J28" s="204" t="s">
        <v>28</v>
      </c>
      <c r="K28" s="204" t="s">
        <v>29</v>
      </c>
      <c r="L28" s="204" t="s">
        <v>30</v>
      </c>
      <c r="M28" s="204" t="s">
        <v>31</v>
      </c>
      <c r="N28" s="204" t="s">
        <v>32</v>
      </c>
      <c r="O28" s="204" t="s">
        <v>33</v>
      </c>
    </row>
    <row r="29" spans="1:15" x14ac:dyDescent="0.25">
      <c r="A29" s="8" t="s">
        <v>70</v>
      </c>
      <c r="B29" s="106">
        <v>350</v>
      </c>
      <c r="C29" s="10" t="s">
        <v>22</v>
      </c>
      <c r="D29" s="11">
        <v>9</v>
      </c>
      <c r="E29" s="10">
        <f>+(D29*B29)/1000</f>
        <v>3.15</v>
      </c>
      <c r="F29" s="79" t="s">
        <v>1</v>
      </c>
      <c r="G29" s="12">
        <f>(103*B29)/100</f>
        <v>360.5</v>
      </c>
      <c r="H29" s="116">
        <f>+G29*4.1868</f>
        <v>1509.3414</v>
      </c>
      <c r="I29" s="12">
        <v>4.2</v>
      </c>
      <c r="J29" s="13">
        <v>1.05</v>
      </c>
      <c r="K29" s="12">
        <v>0</v>
      </c>
      <c r="L29" s="13">
        <v>0</v>
      </c>
      <c r="M29" s="12">
        <v>0</v>
      </c>
      <c r="N29" s="13">
        <v>54.6</v>
      </c>
      <c r="O29" s="104">
        <v>0</v>
      </c>
    </row>
    <row r="30" spans="1:15" ht="16.5" customHeight="1" x14ac:dyDescent="0.25">
      <c r="A30" s="14" t="s">
        <v>46</v>
      </c>
      <c r="B30" s="15">
        <v>0.05</v>
      </c>
      <c r="C30" s="16" t="s">
        <v>22</v>
      </c>
      <c r="D30" s="17">
        <v>0.99</v>
      </c>
      <c r="E30" s="113">
        <f>+(D30*B30)/1000</f>
        <v>4.9500000000000004E-5</v>
      </c>
      <c r="F30" s="80" t="s">
        <v>2</v>
      </c>
      <c r="G30" s="2">
        <f>18*B30</f>
        <v>0.9</v>
      </c>
      <c r="H30" s="107">
        <f>+G30*4.1868</f>
        <v>3.7681200000000001</v>
      </c>
      <c r="I30" s="2">
        <v>0.1</v>
      </c>
      <c r="J30" s="19">
        <v>0</v>
      </c>
      <c r="K30" s="2">
        <v>1.55</v>
      </c>
      <c r="L30" s="19">
        <v>1.1000000000000001</v>
      </c>
      <c r="M30" s="2">
        <v>0.65</v>
      </c>
      <c r="N30" s="19">
        <v>1.2</v>
      </c>
      <c r="O30" s="21">
        <v>0</v>
      </c>
    </row>
    <row r="31" spans="1:15" x14ac:dyDescent="0.25">
      <c r="A31" s="22" t="s">
        <v>20</v>
      </c>
      <c r="B31" s="23">
        <v>0.01</v>
      </c>
      <c r="C31" s="16" t="s">
        <v>22</v>
      </c>
      <c r="D31" s="17">
        <v>0.35</v>
      </c>
      <c r="E31" s="16">
        <f t="shared" ref="E31:E36" si="0">+D31*B31</f>
        <v>3.4999999999999996E-3</v>
      </c>
      <c r="F31" s="80" t="s">
        <v>2</v>
      </c>
      <c r="G31" s="2">
        <f t="shared" ref="G31" si="1">192*B31</f>
        <v>1.92</v>
      </c>
      <c r="H31" s="107">
        <f t="shared" ref="H31:H36" si="2">+G31*4.1868</f>
        <v>8.0386559999999996</v>
      </c>
      <c r="I31" s="2">
        <v>0</v>
      </c>
      <c r="J31" s="19">
        <v>0</v>
      </c>
      <c r="K31" s="2">
        <v>0</v>
      </c>
      <c r="L31" s="19">
        <v>0</v>
      </c>
      <c r="M31" s="2">
        <v>0</v>
      </c>
      <c r="N31" s="19">
        <v>0</v>
      </c>
      <c r="O31" s="21">
        <v>10</v>
      </c>
    </row>
    <row r="32" spans="1:15" x14ac:dyDescent="0.25">
      <c r="A32" s="22" t="s">
        <v>47</v>
      </c>
      <c r="B32" s="23">
        <v>0.04</v>
      </c>
      <c r="C32" s="16" t="s">
        <v>73</v>
      </c>
      <c r="D32" s="17">
        <v>5</v>
      </c>
      <c r="E32" s="16">
        <f t="shared" si="0"/>
        <v>0.2</v>
      </c>
      <c r="F32" s="80" t="s">
        <v>2</v>
      </c>
      <c r="G32" s="2">
        <f>72*B32</f>
        <v>2.88</v>
      </c>
      <c r="H32" s="107">
        <f t="shared" si="2"/>
        <v>12.057983999999999</v>
      </c>
      <c r="I32" s="2">
        <v>0.24</v>
      </c>
      <c r="J32" s="19">
        <v>0.04</v>
      </c>
      <c r="K32" s="2">
        <v>4.5199999999999996</v>
      </c>
      <c r="L32" s="19">
        <v>0.52</v>
      </c>
      <c r="M32" s="2">
        <v>1.2</v>
      </c>
      <c r="N32" s="19">
        <v>1.52</v>
      </c>
      <c r="O32" s="21">
        <v>0</v>
      </c>
    </row>
    <row r="33" spans="1:29" x14ac:dyDescent="0.25">
      <c r="A33" s="22" t="s">
        <v>72</v>
      </c>
      <c r="B33" s="23">
        <v>1E-3</v>
      </c>
      <c r="C33" s="16" t="s">
        <v>22</v>
      </c>
      <c r="D33" s="17">
        <v>15</v>
      </c>
      <c r="E33" s="16">
        <f t="shared" si="0"/>
        <v>1.4999999999999999E-2</v>
      </c>
      <c r="F33" s="80" t="s">
        <v>2</v>
      </c>
      <c r="G33" s="2">
        <v>0</v>
      </c>
      <c r="H33" s="107">
        <f t="shared" si="2"/>
        <v>0</v>
      </c>
      <c r="I33" s="2">
        <v>0</v>
      </c>
      <c r="J33" s="19">
        <v>0</v>
      </c>
      <c r="K33" s="2">
        <v>0</v>
      </c>
      <c r="L33" s="19">
        <v>0</v>
      </c>
      <c r="M33" s="2">
        <v>0</v>
      </c>
      <c r="N33" s="19">
        <v>0</v>
      </c>
      <c r="O33" s="21">
        <v>0</v>
      </c>
    </row>
    <row r="34" spans="1:29" x14ac:dyDescent="0.25">
      <c r="A34" s="14" t="s">
        <v>45</v>
      </c>
      <c r="B34" s="108">
        <v>500</v>
      </c>
      <c r="C34" s="16" t="s">
        <v>22</v>
      </c>
      <c r="D34" s="17">
        <v>1.29</v>
      </c>
      <c r="E34" s="16">
        <f>+(D34*B34)/1000</f>
        <v>0.64500000000000002</v>
      </c>
      <c r="F34" s="80" t="s">
        <v>2</v>
      </c>
      <c r="G34" s="2">
        <f>123/B34</f>
        <v>0.246</v>
      </c>
      <c r="H34" s="107">
        <f t="shared" si="2"/>
        <v>1.0299528</v>
      </c>
      <c r="I34" s="2">
        <v>0</v>
      </c>
      <c r="J34" s="19">
        <v>0</v>
      </c>
      <c r="K34" s="2">
        <v>141.5</v>
      </c>
      <c r="L34" s="19">
        <v>39.5</v>
      </c>
      <c r="M34" s="2">
        <v>13.5</v>
      </c>
      <c r="N34" s="19">
        <v>5</v>
      </c>
      <c r="O34" s="21">
        <v>0.5</v>
      </c>
    </row>
    <row r="35" spans="1:29" x14ac:dyDescent="0.25">
      <c r="A35" s="14" t="s">
        <v>21</v>
      </c>
      <c r="B35" s="15">
        <v>0.04</v>
      </c>
      <c r="C35" s="16" t="s">
        <v>68</v>
      </c>
      <c r="D35" s="17">
        <v>3.49</v>
      </c>
      <c r="E35" s="16">
        <f t="shared" si="0"/>
        <v>0.1396</v>
      </c>
      <c r="F35" s="80" t="s">
        <v>2</v>
      </c>
      <c r="G35" s="2">
        <f>(192*B35)/0.1</f>
        <v>76.8</v>
      </c>
      <c r="H35" s="107">
        <f t="shared" si="2"/>
        <v>321.54623999999995</v>
      </c>
      <c r="I35" s="2">
        <v>39.96</v>
      </c>
      <c r="J35" s="19">
        <v>5.76</v>
      </c>
      <c r="K35" s="2">
        <v>0</v>
      </c>
      <c r="L35" s="19">
        <v>0</v>
      </c>
      <c r="M35" s="2">
        <v>0</v>
      </c>
      <c r="N35" s="19">
        <v>0</v>
      </c>
      <c r="O35" s="21">
        <v>0</v>
      </c>
      <c r="Q35" s="18"/>
      <c r="R35" s="18"/>
      <c r="S35" s="18"/>
      <c r="T35" s="18"/>
      <c r="U35" s="18"/>
      <c r="V35" s="18"/>
      <c r="AB35" s="18"/>
      <c r="AC35" s="18"/>
    </row>
    <row r="36" spans="1:29" x14ac:dyDescent="0.25">
      <c r="A36" s="14" t="s">
        <v>71</v>
      </c>
      <c r="B36" s="15">
        <v>5.0000000000000001E-3</v>
      </c>
      <c r="C36" s="16" t="s">
        <v>22</v>
      </c>
      <c r="D36" s="17">
        <v>13</v>
      </c>
      <c r="E36" s="16">
        <f t="shared" si="0"/>
        <v>6.5000000000000002E-2</v>
      </c>
      <c r="F36" s="80" t="s">
        <v>2</v>
      </c>
      <c r="G36" s="2">
        <f>28*B36</f>
        <v>0.14000000000000001</v>
      </c>
      <c r="H36" s="107">
        <f t="shared" si="2"/>
        <v>0.58615200000000001</v>
      </c>
      <c r="I36" s="2">
        <v>0.03</v>
      </c>
      <c r="J36" s="19">
        <v>5.0000000000000001E-3</v>
      </c>
      <c r="K36" s="18">
        <v>0.09</v>
      </c>
      <c r="L36" s="19">
        <v>7.4999999999999997E-2</v>
      </c>
      <c r="M36" s="18">
        <v>0.13</v>
      </c>
      <c r="N36" s="19">
        <v>0.12</v>
      </c>
      <c r="O36" s="98">
        <v>0</v>
      </c>
    </row>
    <row r="37" spans="1:29" x14ac:dyDescent="0.25">
      <c r="A37" s="24" t="s">
        <v>91</v>
      </c>
      <c r="B37" s="115">
        <v>500</v>
      </c>
      <c r="C37" s="26" t="s">
        <v>90</v>
      </c>
      <c r="D37" s="27">
        <v>4</v>
      </c>
      <c r="E37" s="114">
        <f>+(D37*B37)/1000</f>
        <v>2</v>
      </c>
      <c r="F37" s="97" t="s">
        <v>2</v>
      </c>
      <c r="G37" s="30">
        <f>(27*B37)/100</f>
        <v>135</v>
      </c>
      <c r="H37" s="117">
        <f>+G37*4.1868</f>
        <v>565.21799999999996</v>
      </c>
      <c r="I37" s="30">
        <v>4.5</v>
      </c>
      <c r="J37" s="29">
        <v>0.5</v>
      </c>
      <c r="K37" s="28">
        <v>4</v>
      </c>
      <c r="L37" s="29">
        <v>50.006999999999998</v>
      </c>
      <c r="M37" s="28">
        <v>13</v>
      </c>
      <c r="N37" s="29">
        <v>13</v>
      </c>
      <c r="O37" s="105">
        <v>2</v>
      </c>
    </row>
    <row r="38" spans="1:29" x14ac:dyDescent="0.25">
      <c r="A38" s="31"/>
      <c r="B38" s="16"/>
      <c r="C38" s="16"/>
      <c r="D38" s="61"/>
      <c r="E38" s="16"/>
      <c r="F38" s="31"/>
      <c r="H38" s="81"/>
      <c r="K38" s="18"/>
      <c r="M38" s="18"/>
      <c r="O38" s="18"/>
    </row>
    <row r="39" spans="1:29" ht="17.25" thickBot="1" x14ac:dyDescent="0.3">
      <c r="A39" s="31"/>
      <c r="B39" s="16"/>
      <c r="C39" s="16"/>
      <c r="D39" s="61"/>
      <c r="E39" s="16"/>
      <c r="F39" s="31"/>
      <c r="H39" s="69"/>
      <c r="J39" s="21"/>
      <c r="L39" s="21"/>
      <c r="N39" s="21"/>
    </row>
    <row r="40" spans="1:29" ht="35.25" customHeight="1" thickBot="1" x14ac:dyDescent="0.3">
      <c r="A40" s="139"/>
      <c r="B40" s="139"/>
      <c r="C40" s="31"/>
      <c r="D40" s="157" t="s">
        <v>40</v>
      </c>
      <c r="E40" s="158"/>
      <c r="F40" s="159"/>
      <c r="G40" s="33">
        <f>SUM(G29:G37)</f>
        <v>578.38599999999997</v>
      </c>
      <c r="H40" s="33">
        <f>SUM(H29:H36)</f>
        <v>1856.3685048</v>
      </c>
      <c r="I40" s="33">
        <f t="shared" ref="I40:O40" si="3">SUM(I29:I37)</f>
        <v>49.03</v>
      </c>
      <c r="J40" s="33">
        <f t="shared" si="3"/>
        <v>7.3549999999999995</v>
      </c>
      <c r="K40" s="33">
        <f t="shared" si="3"/>
        <v>151.66</v>
      </c>
      <c r="L40" s="33">
        <f t="shared" si="3"/>
        <v>91.201999999999998</v>
      </c>
      <c r="M40" s="33">
        <f t="shared" si="3"/>
        <v>28.48</v>
      </c>
      <c r="N40" s="33">
        <f t="shared" si="3"/>
        <v>75.44</v>
      </c>
      <c r="O40" s="76">
        <f t="shared" si="3"/>
        <v>12.5</v>
      </c>
    </row>
    <row r="41" spans="1:29" ht="15.75" customHeight="1" thickBot="1" x14ac:dyDescent="0.3">
      <c r="A41" s="140"/>
      <c r="B41" s="140"/>
      <c r="C41" s="31"/>
      <c r="D41" s="34"/>
      <c r="E41" s="34"/>
      <c r="F41" s="35"/>
      <c r="G41" s="2" t="s">
        <v>34</v>
      </c>
      <c r="H41" s="2" t="s">
        <v>35</v>
      </c>
      <c r="I41" s="2" t="s">
        <v>36</v>
      </c>
      <c r="J41" s="2" t="s">
        <v>36</v>
      </c>
      <c r="K41" s="2" t="s">
        <v>36</v>
      </c>
      <c r="L41" s="2" t="s">
        <v>36</v>
      </c>
      <c r="M41" s="2" t="s">
        <v>36</v>
      </c>
      <c r="N41" s="2" t="s">
        <v>36</v>
      </c>
      <c r="O41" s="2" t="s">
        <v>36</v>
      </c>
    </row>
    <row r="42" spans="1:29" ht="45.75" customHeight="1" thickBot="1" x14ac:dyDescent="0.3">
      <c r="A42" s="31"/>
      <c r="B42" s="31"/>
      <c r="C42" s="31"/>
      <c r="D42" s="157" t="s">
        <v>44</v>
      </c>
      <c r="E42" s="158"/>
      <c r="F42" s="158"/>
      <c r="G42" s="36">
        <f>+G40/2</f>
        <v>289.19299999999998</v>
      </c>
      <c r="H42" s="36">
        <f>+H40/2</f>
        <v>928.18425239999999</v>
      </c>
      <c r="I42" s="36">
        <f t="shared" ref="I42:O42" si="4">+I40/2</f>
        <v>24.515000000000001</v>
      </c>
      <c r="J42" s="36">
        <f t="shared" si="4"/>
        <v>3.6774999999999998</v>
      </c>
      <c r="K42" s="36">
        <f t="shared" si="4"/>
        <v>75.83</v>
      </c>
      <c r="L42" s="36">
        <f t="shared" si="4"/>
        <v>45.600999999999999</v>
      </c>
      <c r="M42" s="36">
        <f t="shared" si="4"/>
        <v>14.24</v>
      </c>
      <c r="N42" s="36">
        <f t="shared" si="4"/>
        <v>37.72</v>
      </c>
      <c r="O42" s="36">
        <f t="shared" si="4"/>
        <v>6.25</v>
      </c>
    </row>
    <row r="43" spans="1:29" ht="15.75" customHeight="1" x14ac:dyDescent="0.25">
      <c r="A43" s="31"/>
      <c r="B43" s="31"/>
      <c r="C43" s="31"/>
      <c r="D43" s="34"/>
      <c r="E43" s="34"/>
      <c r="F43" s="35"/>
    </row>
    <row r="44" spans="1:29" ht="17.25" thickBot="1" x14ac:dyDescent="0.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</row>
    <row r="45" spans="1:29" ht="3.75" customHeight="1" thickBot="1" x14ac:dyDescent="0.3">
      <c r="A45" s="157" t="s">
        <v>6</v>
      </c>
      <c r="B45" s="158"/>
      <c r="C45" s="158"/>
      <c r="D45" s="158"/>
      <c r="E45" s="158"/>
      <c r="F45" s="158"/>
      <c r="G45" s="158"/>
      <c r="H45" s="158"/>
      <c r="I45" s="158"/>
      <c r="J45" s="158"/>
      <c r="K45" s="158"/>
      <c r="L45" s="159"/>
      <c r="M45" s="1"/>
    </row>
    <row r="46" spans="1:29" ht="25.5" customHeight="1" thickBot="1" x14ac:dyDescent="0.3">
      <c r="A46" s="183"/>
      <c r="B46" s="184"/>
      <c r="C46" s="184"/>
      <c r="D46" s="184"/>
      <c r="E46" s="184"/>
      <c r="F46" s="184"/>
      <c r="G46" s="184"/>
      <c r="H46" s="184"/>
      <c r="I46" s="184"/>
      <c r="J46" s="184"/>
      <c r="K46" s="184"/>
      <c r="L46" s="185"/>
      <c r="M46" s="1"/>
    </row>
    <row r="47" spans="1:29" ht="169.5" hidden="1" customHeight="1" thickBot="1" x14ac:dyDescent="0.3">
      <c r="A47" s="183"/>
      <c r="B47" s="184"/>
      <c r="C47" s="184"/>
      <c r="D47" s="184"/>
      <c r="E47" s="184"/>
      <c r="F47" s="184"/>
      <c r="G47" s="184"/>
      <c r="H47" s="184"/>
      <c r="I47" s="184"/>
      <c r="J47" s="184"/>
      <c r="K47" s="184"/>
      <c r="L47" s="185"/>
      <c r="M47" s="1"/>
    </row>
    <row r="48" spans="1:29" ht="24.75" customHeight="1" thickBot="1" x14ac:dyDescent="0.3">
      <c r="A48" s="151" t="s">
        <v>7</v>
      </c>
      <c r="B48" s="153"/>
      <c r="C48" s="151"/>
      <c r="D48" s="152"/>
      <c r="E48" s="153"/>
      <c r="F48" s="151" t="s">
        <v>23</v>
      </c>
      <c r="G48" s="153"/>
      <c r="H48" s="151"/>
      <c r="I48" s="152"/>
      <c r="J48" s="152"/>
      <c r="K48" s="152"/>
      <c r="L48" s="153"/>
      <c r="M48" s="1"/>
    </row>
    <row r="49" spans="1:13" ht="17.25" thickBot="1" x14ac:dyDescent="0.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</row>
    <row r="50" spans="1:13" ht="13.5" customHeight="1" x14ac:dyDescent="0.25">
      <c r="A50" s="1"/>
      <c r="B50" s="1"/>
      <c r="C50" s="1"/>
      <c r="D50" s="1"/>
      <c r="E50" s="1"/>
      <c r="F50" s="1"/>
      <c r="G50" s="186" t="s">
        <v>8</v>
      </c>
      <c r="H50" s="189" t="s">
        <v>9</v>
      </c>
      <c r="I50" s="190"/>
      <c r="J50" s="191"/>
      <c r="K50" s="54">
        <f>SUM(E29:E37)</f>
        <v>6.2181495</v>
      </c>
      <c r="L50" s="1"/>
      <c r="M50" s="1"/>
    </row>
    <row r="51" spans="1:13" x14ac:dyDescent="0.25">
      <c r="A51" s="1"/>
      <c r="B51" s="1"/>
      <c r="C51" s="1"/>
      <c r="D51" s="1"/>
      <c r="E51" s="1"/>
      <c r="F51" s="1"/>
      <c r="G51" s="187"/>
      <c r="H51" s="180" t="s">
        <v>10</v>
      </c>
      <c r="I51" s="181"/>
      <c r="J51" s="182"/>
      <c r="K51" s="55">
        <v>0.25</v>
      </c>
      <c r="L51" s="1"/>
      <c r="M51" s="1"/>
    </row>
    <row r="52" spans="1:13" x14ac:dyDescent="0.25">
      <c r="A52" s="1"/>
      <c r="B52" s="1"/>
      <c r="C52" s="1"/>
      <c r="D52" s="1"/>
      <c r="E52" s="1"/>
      <c r="F52" s="1"/>
      <c r="G52" s="187"/>
      <c r="H52" s="180" t="s">
        <v>11</v>
      </c>
      <c r="I52" s="181"/>
      <c r="J52" s="182"/>
      <c r="K52" s="56">
        <f>1/K51</f>
        <v>4</v>
      </c>
      <c r="L52" s="1"/>
      <c r="M52" s="1"/>
    </row>
    <row r="53" spans="1:13" x14ac:dyDescent="0.25">
      <c r="A53" s="1"/>
      <c r="B53" s="1"/>
      <c r="C53" s="1"/>
      <c r="D53" s="1"/>
      <c r="E53" s="1"/>
      <c r="F53" s="1"/>
      <c r="G53" s="187"/>
      <c r="H53" s="180" t="s">
        <v>12</v>
      </c>
      <c r="I53" s="181"/>
      <c r="J53" s="182"/>
      <c r="K53" s="57">
        <f>K50*K52</f>
        <v>24.872598</v>
      </c>
      <c r="L53" s="40"/>
      <c r="M53" s="1"/>
    </row>
    <row r="54" spans="1:13" x14ac:dyDescent="0.25">
      <c r="A54" s="1"/>
      <c r="B54" s="1"/>
      <c r="C54" s="1"/>
      <c r="D54" s="1"/>
      <c r="E54" s="1"/>
      <c r="F54" s="1"/>
      <c r="G54" s="187"/>
      <c r="H54" s="180" t="s">
        <v>13</v>
      </c>
      <c r="I54" s="181"/>
      <c r="J54" s="182"/>
      <c r="K54" s="57">
        <f>K53-K50</f>
        <v>18.654448500000001</v>
      </c>
      <c r="L54" s="1"/>
      <c r="M54" s="1"/>
    </row>
    <row r="55" spans="1:13" x14ac:dyDescent="0.25">
      <c r="A55" s="1"/>
      <c r="B55" s="1"/>
      <c r="C55" s="1"/>
      <c r="D55" s="1"/>
      <c r="E55" s="1"/>
      <c r="F55" s="1"/>
      <c r="G55" s="187"/>
      <c r="H55" s="180" t="s">
        <v>14</v>
      </c>
      <c r="I55" s="181"/>
      <c r="J55" s="182"/>
      <c r="K55" s="55">
        <v>0.13</v>
      </c>
      <c r="L55" s="1"/>
      <c r="M55" s="1"/>
    </row>
    <row r="56" spans="1:13" ht="17.25" thickBot="1" x14ac:dyDescent="0.3">
      <c r="A56" s="1"/>
      <c r="B56" s="1"/>
      <c r="C56" s="1"/>
      <c r="D56" s="1"/>
      <c r="E56" s="1"/>
      <c r="F56" s="1"/>
      <c r="G56" s="188"/>
      <c r="H56" s="192" t="s">
        <v>15</v>
      </c>
      <c r="I56" s="193"/>
      <c r="J56" s="194"/>
      <c r="K56" s="58">
        <f>K53*(1+K55)</f>
        <v>28.106035739999996</v>
      </c>
      <c r="L56" s="1"/>
      <c r="M56" s="1"/>
    </row>
    <row r="57" spans="1:13" x14ac:dyDescent="0.25">
      <c r="A57" s="1"/>
      <c r="B57" s="170"/>
      <c r="C57" s="171"/>
      <c r="D57" s="1"/>
      <c r="E57" s="1"/>
      <c r="F57" s="1"/>
      <c r="G57" s="169"/>
      <c r="H57" s="135"/>
      <c r="I57" s="135"/>
      <c r="J57" s="135"/>
      <c r="K57" s="43"/>
      <c r="L57" s="1"/>
      <c r="M57" s="1"/>
    </row>
    <row r="58" spans="1:13" x14ac:dyDescent="0.25">
      <c r="A58" s="1"/>
      <c r="B58" s="172" t="s">
        <v>16</v>
      </c>
      <c r="C58" s="172"/>
      <c r="D58" s="1"/>
      <c r="E58" s="1"/>
      <c r="F58" s="1"/>
      <c r="G58" s="169"/>
      <c r="H58" s="135"/>
      <c r="I58" s="135"/>
      <c r="J58" s="135"/>
      <c r="K58" s="53"/>
      <c r="L58" s="1"/>
      <c r="M58" s="1"/>
    </row>
    <row r="59" spans="1:13" x14ac:dyDescent="0.25">
      <c r="A59" s="1"/>
      <c r="B59" s="42"/>
      <c r="C59" s="42"/>
      <c r="D59" s="1"/>
      <c r="E59" s="1"/>
      <c r="F59" s="1"/>
      <c r="G59" s="59" t="s">
        <v>17</v>
      </c>
      <c r="H59" s="44"/>
      <c r="I59" s="1"/>
      <c r="J59" s="1"/>
      <c r="K59" s="43"/>
      <c r="L59" s="1"/>
      <c r="M59" s="1"/>
    </row>
    <row r="60" spans="1:13" x14ac:dyDescent="0.25">
      <c r="A60" s="1"/>
      <c r="B60" s="42"/>
      <c r="C60" s="42"/>
      <c r="D60" s="1"/>
      <c r="E60" s="1"/>
      <c r="F60" s="1"/>
      <c r="G60" s="42"/>
      <c r="H60" s="1"/>
      <c r="I60" s="1"/>
      <c r="J60" s="1"/>
      <c r="K60" s="43"/>
      <c r="L60" s="1"/>
      <c r="M60" s="1"/>
    </row>
    <row r="61" spans="1:13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</row>
    <row r="62" spans="1:13" x14ac:dyDescent="0.25">
      <c r="A62" s="163" t="s">
        <v>48</v>
      </c>
      <c r="B62" s="164"/>
      <c r="C62" s="164"/>
      <c r="D62" s="164"/>
      <c r="E62" s="164"/>
      <c r="F62" s="164"/>
      <c r="G62" s="164"/>
      <c r="H62" s="164"/>
      <c r="I62" s="164"/>
      <c r="J62" s="164"/>
      <c r="K62" s="164"/>
      <c r="L62" s="165"/>
      <c r="M62" s="1"/>
    </row>
    <row r="63" spans="1:13" ht="62.25" customHeight="1" x14ac:dyDescent="0.25">
      <c r="A63" s="166"/>
      <c r="B63" s="167"/>
      <c r="C63" s="167"/>
      <c r="D63" s="167"/>
      <c r="E63" s="167"/>
      <c r="F63" s="167"/>
      <c r="G63" s="167"/>
      <c r="H63" s="167"/>
      <c r="I63" s="167"/>
      <c r="J63" s="167"/>
      <c r="K63" s="167"/>
      <c r="L63" s="168"/>
      <c r="M63" s="1"/>
    </row>
    <row r="64" spans="1:13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</row>
    <row r="65" spans="1:13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</row>
  </sheetData>
  <mergeCells count="38">
    <mergeCell ref="A1:L4"/>
    <mergeCell ref="C6:E6"/>
    <mergeCell ref="F6:H6"/>
    <mergeCell ref="I6:L6"/>
    <mergeCell ref="F8:H8"/>
    <mergeCell ref="I8:L8"/>
    <mergeCell ref="C10:E10"/>
    <mergeCell ref="I10:L10"/>
    <mergeCell ref="A12:L12"/>
    <mergeCell ref="A14:L25"/>
    <mergeCell ref="A27:B27"/>
    <mergeCell ref="D27:E27"/>
    <mergeCell ref="G10:H10"/>
    <mergeCell ref="F27:O27"/>
    <mergeCell ref="H54:J54"/>
    <mergeCell ref="H55:J55"/>
    <mergeCell ref="H56:J56"/>
    <mergeCell ref="A40:B40"/>
    <mergeCell ref="D40:F40"/>
    <mergeCell ref="A41:B41"/>
    <mergeCell ref="D42:F42"/>
    <mergeCell ref="A45:L45"/>
    <mergeCell ref="A62:L63"/>
    <mergeCell ref="G57:G58"/>
    <mergeCell ref="A46:L47"/>
    <mergeCell ref="B57:C57"/>
    <mergeCell ref="H57:J57"/>
    <mergeCell ref="B58:C58"/>
    <mergeCell ref="H58:J58"/>
    <mergeCell ref="A48:B48"/>
    <mergeCell ref="C48:E48"/>
    <mergeCell ref="F48:G48"/>
    <mergeCell ref="H48:L48"/>
    <mergeCell ref="G50:G56"/>
    <mergeCell ref="H50:J50"/>
    <mergeCell ref="H51:J51"/>
    <mergeCell ref="H52:J52"/>
    <mergeCell ref="H53:J53"/>
  </mergeCells>
  <conditionalFormatting sqref="C28 F29:F34 F36:F39">
    <cfRule type="cellIs" dxfId="2" priority="3" stopIfTrue="1" operator="equal">
      <formula>"Sim"</formula>
    </cfRule>
  </conditionalFormatting>
  <conditionalFormatting sqref="F35">
    <cfRule type="cellIs" dxfId="1" priority="2" stopIfTrue="1" operator="equal">
      <formula>"Sim"</formula>
    </cfRule>
  </conditionalFormatting>
  <dataValidations count="1">
    <dataValidation type="list" showInputMessage="1" showErrorMessage="1" sqref="C28 F29:F39" xr:uid="{D7DB9A4A-F024-438E-9CFD-E329B934C9B0}">
      <formula1>$M$2:$M$4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590F2F-E5C3-430A-99C0-034C2BE94ACB}">
  <dimension ref="A1:Q63"/>
  <sheetViews>
    <sheetView topLeftCell="A11" zoomScale="80" zoomScaleNormal="80" workbookViewId="0">
      <selection activeCell="A44" sqref="A44:L45"/>
    </sheetView>
  </sheetViews>
  <sheetFormatPr defaultRowHeight="16.5" x14ac:dyDescent="0.25"/>
  <cols>
    <col min="1" max="1" width="20.28515625" style="2" customWidth="1"/>
    <col min="2" max="2" width="13.42578125" style="2" customWidth="1"/>
    <col min="3" max="3" width="8.85546875" style="2" customWidth="1"/>
    <col min="4" max="4" width="8.42578125" style="2" customWidth="1"/>
    <col min="5" max="5" width="11.42578125" style="2" customWidth="1"/>
    <col min="6" max="6" width="11.5703125" style="2" customWidth="1"/>
    <col min="7" max="7" width="12" style="2" customWidth="1"/>
    <col min="8" max="8" width="13.28515625" style="2" customWidth="1"/>
    <col min="9" max="10" width="9.140625" style="2"/>
    <col min="11" max="11" width="11" style="2" customWidth="1"/>
    <col min="12" max="12" width="8.85546875" style="2" customWidth="1"/>
    <col min="13" max="13" width="8.28515625" style="2" customWidth="1"/>
    <col min="14" max="14" width="10.140625" style="2" customWidth="1"/>
    <col min="15" max="15" width="8.7109375" style="2" customWidth="1"/>
    <col min="16" max="16384" width="9.140625" style="2"/>
  </cols>
  <sheetData>
    <row r="1" spans="1:13" x14ac:dyDescent="0.25">
      <c r="A1" s="121" t="s">
        <v>0</v>
      </c>
      <c r="B1" s="122"/>
      <c r="C1" s="122"/>
      <c r="D1" s="122"/>
      <c r="E1" s="122"/>
      <c r="F1" s="122"/>
      <c r="G1" s="122"/>
      <c r="H1" s="122"/>
      <c r="I1" s="122"/>
      <c r="J1" s="122"/>
      <c r="K1" s="122"/>
      <c r="L1" s="123"/>
      <c r="M1" s="1"/>
    </row>
    <row r="2" spans="1:13" x14ac:dyDescent="0.25">
      <c r="A2" s="124"/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6"/>
      <c r="M2" s="3" t="s">
        <v>1</v>
      </c>
    </row>
    <row r="3" spans="1:13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6"/>
      <c r="M3" s="3" t="s">
        <v>2</v>
      </c>
    </row>
    <row r="4" spans="1:13" x14ac:dyDescent="0.25">
      <c r="A4" s="127"/>
      <c r="B4" s="128"/>
      <c r="C4" s="128"/>
      <c r="D4" s="128"/>
      <c r="E4" s="128"/>
      <c r="F4" s="128"/>
      <c r="G4" s="128"/>
      <c r="H4" s="128"/>
      <c r="I4" s="128"/>
      <c r="J4" s="128"/>
      <c r="K4" s="128"/>
      <c r="L4" s="129"/>
      <c r="M4" s="3"/>
    </row>
    <row r="5" spans="1:13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4"/>
      <c r="M5" s="3"/>
    </row>
    <row r="6" spans="1:13" x14ac:dyDescent="0.25">
      <c r="A6" s="1"/>
      <c r="B6" s="5"/>
      <c r="C6" s="130"/>
      <c r="D6" s="130"/>
      <c r="E6" s="130"/>
      <c r="F6" s="130" t="s">
        <v>3</v>
      </c>
      <c r="G6" s="130"/>
      <c r="H6" s="131"/>
      <c r="I6" s="132" t="s">
        <v>50</v>
      </c>
      <c r="J6" s="133"/>
      <c r="K6" s="133"/>
      <c r="L6" s="134"/>
      <c r="M6" s="3"/>
    </row>
    <row r="7" spans="1:13" x14ac:dyDescent="0.25">
      <c r="A7" s="1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3"/>
    </row>
    <row r="8" spans="1:13" x14ac:dyDescent="0.25">
      <c r="A8" s="1"/>
      <c r="B8" s="5"/>
      <c r="C8" s="5"/>
      <c r="D8" s="5"/>
      <c r="E8" s="5"/>
      <c r="F8" s="130" t="s">
        <v>4</v>
      </c>
      <c r="G8" s="130"/>
      <c r="H8" s="131"/>
      <c r="I8" s="132" t="s">
        <v>43</v>
      </c>
      <c r="J8" s="133"/>
      <c r="K8" s="133"/>
      <c r="L8" s="134"/>
      <c r="M8" s="3"/>
    </row>
    <row r="9" spans="1:1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3"/>
    </row>
    <row r="10" spans="1:13" x14ac:dyDescent="0.25">
      <c r="A10" s="1"/>
      <c r="B10" s="5"/>
      <c r="C10" s="130"/>
      <c r="D10" s="130"/>
      <c r="E10" s="130"/>
      <c r="F10" s="1"/>
      <c r="G10" s="130" t="s">
        <v>5</v>
      </c>
      <c r="H10" s="131"/>
      <c r="I10" s="132">
        <v>7</v>
      </c>
      <c r="J10" s="133"/>
      <c r="K10" s="133"/>
      <c r="L10" s="134"/>
      <c r="M10" s="1"/>
    </row>
    <row r="11" spans="1:13" ht="17.25" thickBot="1" x14ac:dyDescent="0.3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ht="25.5" customHeight="1" thickBot="1" x14ac:dyDescent="0.3">
      <c r="A12" s="136" t="s">
        <v>80</v>
      </c>
      <c r="B12" s="137"/>
      <c r="C12" s="137"/>
      <c r="D12" s="137"/>
      <c r="E12" s="137"/>
      <c r="F12" s="137"/>
      <c r="G12" s="137"/>
      <c r="H12" s="137"/>
      <c r="I12" s="137"/>
      <c r="J12" s="137"/>
      <c r="K12" s="137"/>
      <c r="L12" s="138"/>
      <c r="M12" s="1"/>
    </row>
    <row r="13" spans="1:1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25">
      <c r="A14" s="141" t="s">
        <v>49</v>
      </c>
      <c r="B14" s="142"/>
      <c r="C14" s="142"/>
      <c r="D14" s="142"/>
      <c r="E14" s="142"/>
      <c r="F14" s="142"/>
      <c r="G14" s="142"/>
      <c r="H14" s="142"/>
      <c r="I14" s="142"/>
      <c r="J14" s="142"/>
      <c r="K14" s="142"/>
      <c r="L14" s="143"/>
      <c r="M14" s="1"/>
    </row>
    <row r="15" spans="1:13" x14ac:dyDescent="0.25">
      <c r="A15" s="144"/>
      <c r="B15" s="145"/>
      <c r="C15" s="145"/>
      <c r="D15" s="145"/>
      <c r="E15" s="145"/>
      <c r="F15" s="145"/>
      <c r="G15" s="145"/>
      <c r="H15" s="145"/>
      <c r="I15" s="145"/>
      <c r="J15" s="145"/>
      <c r="K15" s="145"/>
      <c r="L15" s="146"/>
      <c r="M15" s="1"/>
    </row>
    <row r="16" spans="1:13" x14ac:dyDescent="0.25">
      <c r="A16" s="144"/>
      <c r="B16" s="145"/>
      <c r="C16" s="145"/>
      <c r="D16" s="145"/>
      <c r="E16" s="145"/>
      <c r="F16" s="145"/>
      <c r="G16" s="145"/>
      <c r="H16" s="145"/>
      <c r="I16" s="145"/>
      <c r="J16" s="145"/>
      <c r="K16" s="145"/>
      <c r="L16" s="146"/>
      <c r="M16" s="1"/>
    </row>
    <row r="17" spans="1:15" x14ac:dyDescent="0.25">
      <c r="A17" s="144"/>
      <c r="B17" s="145"/>
      <c r="C17" s="145"/>
      <c r="D17" s="145"/>
      <c r="E17" s="145"/>
      <c r="F17" s="145"/>
      <c r="G17" s="145"/>
      <c r="H17" s="145"/>
      <c r="I17" s="145"/>
      <c r="J17" s="145"/>
      <c r="K17" s="145"/>
      <c r="L17" s="146"/>
      <c r="M17" s="1"/>
    </row>
    <row r="18" spans="1:15" x14ac:dyDescent="0.25">
      <c r="A18" s="144"/>
      <c r="B18" s="145"/>
      <c r="C18" s="145"/>
      <c r="D18" s="145"/>
      <c r="E18" s="145"/>
      <c r="F18" s="145"/>
      <c r="G18" s="145"/>
      <c r="H18" s="145"/>
      <c r="I18" s="145"/>
      <c r="J18" s="145"/>
      <c r="K18" s="145"/>
      <c r="L18" s="146"/>
      <c r="M18" s="1"/>
    </row>
    <row r="19" spans="1:15" x14ac:dyDescent="0.25">
      <c r="A19" s="144"/>
      <c r="B19" s="145"/>
      <c r="C19" s="145"/>
      <c r="D19" s="145"/>
      <c r="E19" s="145"/>
      <c r="F19" s="145"/>
      <c r="G19" s="145"/>
      <c r="H19" s="145"/>
      <c r="I19" s="145"/>
      <c r="J19" s="145"/>
      <c r="K19" s="145"/>
      <c r="L19" s="146"/>
      <c r="M19" s="1"/>
    </row>
    <row r="20" spans="1:15" x14ac:dyDescent="0.25">
      <c r="A20" s="144"/>
      <c r="B20" s="145"/>
      <c r="C20" s="145"/>
      <c r="D20" s="145"/>
      <c r="E20" s="145"/>
      <c r="F20" s="145"/>
      <c r="G20" s="145"/>
      <c r="H20" s="145"/>
      <c r="I20" s="145"/>
      <c r="J20" s="145"/>
      <c r="K20" s="145"/>
      <c r="L20" s="146"/>
      <c r="M20" s="1"/>
    </row>
    <row r="21" spans="1:15" x14ac:dyDescent="0.25">
      <c r="A21" s="144"/>
      <c r="B21" s="145"/>
      <c r="C21" s="145"/>
      <c r="D21" s="145"/>
      <c r="E21" s="145"/>
      <c r="F21" s="145"/>
      <c r="G21" s="145"/>
      <c r="H21" s="145"/>
      <c r="I21" s="145"/>
      <c r="J21" s="145"/>
      <c r="K21" s="145"/>
      <c r="L21" s="146"/>
      <c r="M21" s="1"/>
    </row>
    <row r="22" spans="1:15" x14ac:dyDescent="0.25">
      <c r="A22" s="144"/>
      <c r="B22" s="145"/>
      <c r="C22" s="145"/>
      <c r="D22" s="145"/>
      <c r="E22" s="145"/>
      <c r="F22" s="145"/>
      <c r="G22" s="145"/>
      <c r="H22" s="145"/>
      <c r="I22" s="145"/>
      <c r="J22" s="145"/>
      <c r="K22" s="145"/>
      <c r="L22" s="146"/>
      <c r="M22" s="1"/>
    </row>
    <row r="23" spans="1:15" x14ac:dyDescent="0.25">
      <c r="A23" s="144"/>
      <c r="B23" s="145"/>
      <c r="C23" s="145"/>
      <c r="D23" s="145"/>
      <c r="E23" s="145"/>
      <c r="F23" s="145"/>
      <c r="G23" s="145"/>
      <c r="H23" s="145"/>
      <c r="I23" s="145"/>
      <c r="J23" s="145"/>
      <c r="K23" s="145"/>
      <c r="L23" s="146"/>
      <c r="M23" s="1"/>
    </row>
    <row r="24" spans="1:15" x14ac:dyDescent="0.25">
      <c r="A24" s="144"/>
      <c r="B24" s="145"/>
      <c r="C24" s="145"/>
      <c r="D24" s="145"/>
      <c r="E24" s="145"/>
      <c r="F24" s="145"/>
      <c r="G24" s="145"/>
      <c r="H24" s="145"/>
      <c r="I24" s="145"/>
      <c r="J24" s="145"/>
      <c r="K24" s="145"/>
      <c r="L24" s="146"/>
      <c r="M24" s="1"/>
    </row>
    <row r="25" spans="1:15" x14ac:dyDescent="0.25">
      <c r="A25" s="147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9"/>
      <c r="M25" s="1"/>
    </row>
    <row r="26" spans="1:15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</row>
    <row r="27" spans="1:15" ht="36.75" customHeight="1" x14ac:dyDescent="0.25">
      <c r="A27" s="150"/>
      <c r="B27" s="150"/>
      <c r="C27" s="6"/>
      <c r="D27" s="150"/>
      <c r="E27" s="150"/>
      <c r="F27" s="132" t="s">
        <v>42</v>
      </c>
      <c r="G27" s="133"/>
      <c r="H27" s="133"/>
      <c r="I27" s="133"/>
      <c r="J27" s="133"/>
      <c r="K27" s="133"/>
      <c r="L27" s="133"/>
      <c r="M27" s="133"/>
      <c r="N27" s="133"/>
      <c r="O27" s="134"/>
    </row>
    <row r="28" spans="1:15" ht="82.5" x14ac:dyDescent="0.25">
      <c r="A28" s="63" t="s">
        <v>24</v>
      </c>
      <c r="B28" s="7" t="s">
        <v>39</v>
      </c>
      <c r="C28" s="7" t="s">
        <v>37</v>
      </c>
      <c r="D28" s="7" t="s">
        <v>54</v>
      </c>
      <c r="E28" s="7" t="s">
        <v>56</v>
      </c>
      <c r="F28" s="7" t="s">
        <v>38</v>
      </c>
      <c r="G28" s="204" t="s">
        <v>25</v>
      </c>
      <c r="H28" s="204" t="s">
        <v>26</v>
      </c>
      <c r="I28" s="204" t="s">
        <v>27</v>
      </c>
      <c r="J28" s="204" t="s">
        <v>28</v>
      </c>
      <c r="K28" s="204" t="s">
        <v>29</v>
      </c>
      <c r="L28" s="204" t="s">
        <v>30</v>
      </c>
      <c r="M28" s="204" t="s">
        <v>31</v>
      </c>
      <c r="N28" s="204" t="s">
        <v>32</v>
      </c>
      <c r="O28" s="204" t="s">
        <v>33</v>
      </c>
    </row>
    <row r="29" spans="1:15" x14ac:dyDescent="0.25">
      <c r="A29" s="8" t="s">
        <v>74</v>
      </c>
      <c r="B29" s="109">
        <v>400</v>
      </c>
      <c r="C29" s="9" t="s">
        <v>22</v>
      </c>
      <c r="D29" s="60">
        <v>1.39</v>
      </c>
      <c r="E29" s="64">
        <f>+(B29*D29)/1000</f>
        <v>0.55600000000000005</v>
      </c>
      <c r="F29" s="66" t="s">
        <v>2</v>
      </c>
      <c r="G29" s="118">
        <f>(390*B29)/1000</f>
        <v>156</v>
      </c>
      <c r="H29" s="11">
        <f>+G29*4.1868</f>
        <v>653.14080000000001</v>
      </c>
      <c r="I29" s="12">
        <v>0</v>
      </c>
      <c r="J29" s="13">
        <v>0</v>
      </c>
      <c r="K29" s="12">
        <v>397.2</v>
      </c>
      <c r="L29" s="13">
        <v>397.2</v>
      </c>
      <c r="M29" s="12">
        <v>0</v>
      </c>
      <c r="N29" s="13">
        <v>0</v>
      </c>
      <c r="O29" s="13">
        <v>0</v>
      </c>
    </row>
    <row r="30" spans="1:15" x14ac:dyDescent="0.25">
      <c r="A30" s="14" t="s">
        <v>75</v>
      </c>
      <c r="B30" s="110">
        <v>0.02</v>
      </c>
      <c r="C30" s="15" t="s">
        <v>22</v>
      </c>
      <c r="D30" s="61">
        <v>2</v>
      </c>
      <c r="E30" s="65">
        <f t="shared" ref="E30:E36" si="0">+B30*D30</f>
        <v>0.04</v>
      </c>
      <c r="F30" s="31" t="s">
        <v>2</v>
      </c>
      <c r="G30" s="112">
        <f>(390*B30)</f>
        <v>7.8</v>
      </c>
      <c r="H30" s="17">
        <f t="shared" ref="H30:H36" si="1">+G30*4.1868</f>
        <v>32.657039999999995</v>
      </c>
      <c r="I30" s="2">
        <v>0.04</v>
      </c>
      <c r="J30" s="20">
        <v>0</v>
      </c>
      <c r="K30" s="2">
        <v>18.04</v>
      </c>
      <c r="L30" s="19">
        <v>0</v>
      </c>
      <c r="M30" s="2">
        <v>0.02</v>
      </c>
      <c r="N30" s="19">
        <v>0.08</v>
      </c>
      <c r="O30" s="19">
        <v>0.02</v>
      </c>
    </row>
    <row r="31" spans="1:15" x14ac:dyDescent="0.25">
      <c r="A31" s="14" t="s">
        <v>51</v>
      </c>
      <c r="B31" s="110">
        <v>4</v>
      </c>
      <c r="C31" s="15" t="s">
        <v>52</v>
      </c>
      <c r="D31" s="61">
        <v>0.15</v>
      </c>
      <c r="E31" s="65">
        <f t="shared" si="0"/>
        <v>0.6</v>
      </c>
      <c r="F31" s="31" t="s">
        <v>1</v>
      </c>
      <c r="G31" s="112">
        <f>(149*B31)</f>
        <v>596</v>
      </c>
      <c r="H31" s="17">
        <f t="shared" si="1"/>
        <v>2495.3328000000001</v>
      </c>
      <c r="I31" s="2">
        <v>25.92</v>
      </c>
      <c r="J31" s="19">
        <v>6.48</v>
      </c>
      <c r="K31" s="2">
        <v>0</v>
      </c>
      <c r="L31" s="19">
        <v>0</v>
      </c>
      <c r="M31" s="2">
        <v>0</v>
      </c>
      <c r="N31" s="19">
        <v>31.2</v>
      </c>
      <c r="O31" s="19">
        <v>0.96</v>
      </c>
    </row>
    <row r="32" spans="1:15" x14ac:dyDescent="0.25">
      <c r="A32" s="14" t="s">
        <v>76</v>
      </c>
      <c r="B32" s="110">
        <v>1</v>
      </c>
      <c r="C32" s="15" t="s">
        <v>22</v>
      </c>
      <c r="D32" s="61">
        <v>1.5</v>
      </c>
      <c r="E32" s="65">
        <f t="shared" si="0"/>
        <v>1.5</v>
      </c>
      <c r="F32" s="31" t="s">
        <v>2</v>
      </c>
      <c r="G32" s="112">
        <f t="shared" ref="G32:G36" si="2">(390*B32)/5</f>
        <v>78</v>
      </c>
      <c r="H32" s="17">
        <f t="shared" si="1"/>
        <v>326.57040000000001</v>
      </c>
      <c r="I32" s="2">
        <v>0.24</v>
      </c>
      <c r="J32" s="19">
        <v>0</v>
      </c>
      <c r="K32" s="2">
        <v>10.68</v>
      </c>
      <c r="L32" s="19">
        <v>10.68</v>
      </c>
      <c r="M32" s="2">
        <v>2.6</v>
      </c>
      <c r="N32" s="19">
        <v>1.32</v>
      </c>
      <c r="O32" s="19">
        <v>0</v>
      </c>
    </row>
    <row r="33" spans="1:17" x14ac:dyDescent="0.25">
      <c r="A33" s="22" t="s">
        <v>77</v>
      </c>
      <c r="B33" s="110">
        <v>100</v>
      </c>
      <c r="C33" s="15" t="s">
        <v>22</v>
      </c>
      <c r="D33" s="61">
        <v>10.96</v>
      </c>
      <c r="E33" s="65">
        <f>+(B33*D33)/1000</f>
        <v>1.0960000000000001</v>
      </c>
      <c r="F33" s="31" t="s">
        <v>2</v>
      </c>
      <c r="G33" s="112">
        <f>390</f>
        <v>390</v>
      </c>
      <c r="H33" s="17">
        <f t="shared" si="1"/>
        <v>1632.8519999999999</v>
      </c>
      <c r="I33" s="2">
        <v>0.3</v>
      </c>
      <c r="J33" s="19"/>
      <c r="K33" s="2">
        <v>85.6</v>
      </c>
      <c r="L33" s="19">
        <v>42</v>
      </c>
      <c r="M33" s="77">
        <v>5</v>
      </c>
      <c r="N33" s="19">
        <v>3.2</v>
      </c>
      <c r="O33" s="19">
        <v>0.1</v>
      </c>
    </row>
    <row r="34" spans="1:17" x14ac:dyDescent="0.25">
      <c r="A34" s="22" t="s">
        <v>79</v>
      </c>
      <c r="B34" s="110">
        <v>100</v>
      </c>
      <c r="C34" s="15" t="s">
        <v>22</v>
      </c>
      <c r="D34" s="61">
        <v>6</v>
      </c>
      <c r="E34" s="65">
        <f>+(B34*D34)/1000</f>
        <v>0.6</v>
      </c>
      <c r="F34" s="31" t="s">
        <v>1</v>
      </c>
      <c r="G34" s="112">
        <f>390</f>
        <v>390</v>
      </c>
      <c r="H34" s="17">
        <f t="shared" si="1"/>
        <v>1632.8519999999999</v>
      </c>
      <c r="I34" s="2">
        <v>31.7</v>
      </c>
      <c r="J34" s="19">
        <v>19.899999999999999</v>
      </c>
      <c r="K34" s="2">
        <v>52.6</v>
      </c>
      <c r="L34" s="19">
        <v>49</v>
      </c>
      <c r="M34" s="77">
        <v>7.2</v>
      </c>
      <c r="N34" s="19">
        <v>5</v>
      </c>
      <c r="O34" s="19">
        <v>0</v>
      </c>
    </row>
    <row r="35" spans="1:17" x14ac:dyDescent="0.25">
      <c r="A35" s="14" t="s">
        <v>93</v>
      </c>
      <c r="B35" s="110">
        <v>50</v>
      </c>
      <c r="C35" s="15" t="s">
        <v>89</v>
      </c>
      <c r="D35" s="61">
        <v>0.99</v>
      </c>
      <c r="E35" s="65">
        <f>+(B35*D35)/100</f>
        <v>0.495</v>
      </c>
      <c r="F35" s="31" t="s">
        <v>2</v>
      </c>
      <c r="G35" s="112">
        <f>(37*B35)/100</f>
        <v>18.5</v>
      </c>
      <c r="H35" s="17">
        <f t="shared" si="1"/>
        <v>77.455799999999996</v>
      </c>
      <c r="I35" s="2">
        <v>1.1000000000000001</v>
      </c>
      <c r="J35" s="68">
        <v>0.2</v>
      </c>
      <c r="K35" s="77">
        <v>0.2</v>
      </c>
      <c r="L35" s="19">
        <v>0.1</v>
      </c>
      <c r="M35" s="77">
        <v>0.15</v>
      </c>
      <c r="N35" s="68">
        <v>1.85</v>
      </c>
      <c r="O35" s="68">
        <v>0.1</v>
      </c>
    </row>
    <row r="36" spans="1:17" x14ac:dyDescent="0.25">
      <c r="A36" s="24" t="s">
        <v>78</v>
      </c>
      <c r="B36" s="111">
        <v>0</v>
      </c>
      <c r="C36" s="25" t="s">
        <v>68</v>
      </c>
      <c r="D36" s="62">
        <v>0</v>
      </c>
      <c r="E36" s="78">
        <f t="shared" si="0"/>
        <v>0</v>
      </c>
      <c r="F36" s="67" t="s">
        <v>2</v>
      </c>
      <c r="G36" s="119">
        <f t="shared" si="2"/>
        <v>0</v>
      </c>
      <c r="H36" s="27">
        <f t="shared" si="1"/>
        <v>0</v>
      </c>
      <c r="I36" s="28">
        <v>0</v>
      </c>
      <c r="J36" s="29">
        <v>0</v>
      </c>
      <c r="K36" s="28">
        <v>0</v>
      </c>
      <c r="L36" s="52">
        <v>0</v>
      </c>
      <c r="M36" s="28">
        <v>0</v>
      </c>
      <c r="N36" s="52">
        <v>0</v>
      </c>
      <c r="O36" s="52">
        <v>0</v>
      </c>
    </row>
    <row r="37" spans="1:17" ht="17.25" thickBot="1" x14ac:dyDescent="0.3">
      <c r="A37" s="31"/>
      <c r="B37" s="16"/>
      <c r="C37" s="16"/>
      <c r="D37" s="32"/>
      <c r="E37" s="32"/>
      <c r="F37" s="31"/>
      <c r="I37" s="18"/>
      <c r="K37" s="18"/>
      <c r="L37" s="18"/>
      <c r="N37" s="18"/>
      <c r="O37" s="18"/>
    </row>
    <row r="38" spans="1:17" ht="35.25" customHeight="1" thickBot="1" x14ac:dyDescent="0.3">
      <c r="A38" s="139"/>
      <c r="B38" s="139"/>
      <c r="C38" s="31"/>
      <c r="D38" s="157" t="s">
        <v>40</v>
      </c>
      <c r="E38" s="158"/>
      <c r="F38" s="159"/>
      <c r="G38" s="33">
        <f t="shared" ref="G38:O38" si="3">SUM(G29:G36)</f>
        <v>1636.3</v>
      </c>
      <c r="H38" s="33">
        <f t="shared" si="3"/>
        <v>6850.8608400000003</v>
      </c>
      <c r="I38" s="33">
        <f t="shared" si="3"/>
        <v>59.300000000000004</v>
      </c>
      <c r="J38" s="33">
        <f t="shared" si="3"/>
        <v>26.58</v>
      </c>
      <c r="K38" s="33">
        <f t="shared" si="3"/>
        <v>564.32000000000005</v>
      </c>
      <c r="L38" s="33">
        <f t="shared" si="3"/>
        <v>498.98</v>
      </c>
      <c r="M38" s="33">
        <f t="shared" si="3"/>
        <v>14.97</v>
      </c>
      <c r="N38" s="33">
        <f t="shared" si="3"/>
        <v>42.65</v>
      </c>
      <c r="O38" s="76">
        <f t="shared" si="3"/>
        <v>1.1800000000000002</v>
      </c>
    </row>
    <row r="39" spans="1:17" ht="15.75" customHeight="1" thickBot="1" x14ac:dyDescent="0.3">
      <c r="A39" s="140"/>
      <c r="B39" s="140"/>
      <c r="C39" s="31"/>
      <c r="D39" s="34"/>
      <c r="E39" s="34"/>
      <c r="F39" s="35"/>
      <c r="G39" s="2" t="s">
        <v>34</v>
      </c>
      <c r="H39" s="2" t="s">
        <v>35</v>
      </c>
      <c r="I39" s="2" t="s">
        <v>36</v>
      </c>
      <c r="J39" s="2" t="s">
        <v>36</v>
      </c>
      <c r="K39" s="2" t="s">
        <v>36</v>
      </c>
      <c r="L39" s="2" t="s">
        <v>36</v>
      </c>
      <c r="M39" s="2" t="s">
        <v>36</v>
      </c>
      <c r="N39" s="2" t="s">
        <v>36</v>
      </c>
      <c r="O39" s="2" t="s">
        <v>36</v>
      </c>
    </row>
    <row r="40" spans="1:17" ht="45.75" customHeight="1" thickBot="1" x14ac:dyDescent="0.3">
      <c r="A40" s="31"/>
      <c r="B40" s="31"/>
      <c r="C40" s="31"/>
      <c r="D40" s="157" t="s">
        <v>44</v>
      </c>
      <c r="E40" s="158"/>
      <c r="F40" s="158"/>
      <c r="G40" s="33">
        <f>+G38/5</f>
        <v>327.26</v>
      </c>
      <c r="H40" s="36">
        <f t="shared" ref="H40:O40" si="4">+((H38)/5)</f>
        <v>1370.1721680000001</v>
      </c>
      <c r="I40" s="36">
        <f t="shared" si="4"/>
        <v>11.860000000000001</v>
      </c>
      <c r="J40" s="36">
        <f t="shared" si="4"/>
        <v>5.3159999999999998</v>
      </c>
      <c r="K40" s="36">
        <f t="shared" si="4"/>
        <v>112.864</v>
      </c>
      <c r="L40" s="36">
        <f t="shared" si="4"/>
        <v>99.796000000000006</v>
      </c>
      <c r="M40" s="36">
        <f t="shared" si="4"/>
        <v>2.9940000000000002</v>
      </c>
      <c r="N40" s="36">
        <f t="shared" si="4"/>
        <v>8.5299999999999994</v>
      </c>
      <c r="O40" s="36">
        <f t="shared" si="4"/>
        <v>0.23600000000000004</v>
      </c>
    </row>
    <row r="41" spans="1:17" ht="15.75" customHeight="1" x14ac:dyDescent="0.25">
      <c r="A41" s="31"/>
      <c r="B41" s="31"/>
      <c r="C41" s="31"/>
      <c r="D41" s="34"/>
      <c r="E41" s="34"/>
      <c r="F41" s="35"/>
    </row>
    <row r="42" spans="1:17" ht="17.25" thickBot="1" x14ac:dyDescent="0.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</row>
    <row r="43" spans="1:17" ht="35.25" customHeight="1" thickBot="1" x14ac:dyDescent="0.3">
      <c r="A43" s="157" t="s">
        <v>6</v>
      </c>
      <c r="B43" s="158"/>
      <c r="C43" s="158"/>
      <c r="D43" s="158"/>
      <c r="E43" s="158"/>
      <c r="F43" s="158"/>
      <c r="G43" s="158"/>
      <c r="H43" s="158"/>
      <c r="I43" s="158"/>
      <c r="J43" s="158"/>
      <c r="K43" s="158"/>
      <c r="L43" s="159"/>
      <c r="M43" s="1"/>
      <c r="P43" s="37"/>
      <c r="Q43" s="37"/>
    </row>
    <row r="44" spans="1:17" ht="54" customHeight="1" x14ac:dyDescent="0.25">
      <c r="A44" s="183" t="s">
        <v>94</v>
      </c>
      <c r="B44" s="184"/>
      <c r="C44" s="184"/>
      <c r="D44" s="184"/>
      <c r="E44" s="184"/>
      <c r="F44" s="184"/>
      <c r="G44" s="184"/>
      <c r="H44" s="184"/>
      <c r="I44" s="184"/>
      <c r="J44" s="184"/>
      <c r="K44" s="184"/>
      <c r="L44" s="185"/>
      <c r="M44" s="1"/>
      <c r="P44" s="50"/>
      <c r="Q44" s="50"/>
    </row>
    <row r="45" spans="1:17" ht="134.25" customHeight="1" thickBot="1" x14ac:dyDescent="0.3">
      <c r="A45" s="183"/>
      <c r="B45" s="184"/>
      <c r="C45" s="184"/>
      <c r="D45" s="184"/>
      <c r="E45" s="184"/>
      <c r="F45" s="184"/>
      <c r="G45" s="184"/>
      <c r="H45" s="184"/>
      <c r="I45" s="184"/>
      <c r="J45" s="184"/>
      <c r="K45" s="184"/>
      <c r="L45" s="185"/>
      <c r="M45" s="1"/>
    </row>
    <row r="46" spans="1:17" ht="26.25" customHeight="1" thickBot="1" x14ac:dyDescent="0.3">
      <c r="A46" s="151" t="s">
        <v>7</v>
      </c>
      <c r="B46" s="153"/>
      <c r="C46" s="151"/>
      <c r="D46" s="152"/>
      <c r="E46" s="153"/>
      <c r="F46" s="151" t="s">
        <v>23</v>
      </c>
      <c r="G46" s="153"/>
      <c r="H46" s="151"/>
      <c r="I46" s="152"/>
      <c r="J46" s="152"/>
      <c r="K46" s="152"/>
      <c r="L46" s="153"/>
      <c r="M46" s="1"/>
    </row>
    <row r="47" spans="1:17" ht="17.25" thickBot="1" x14ac:dyDescent="0.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</row>
    <row r="48" spans="1:17" ht="13.5" customHeight="1" x14ac:dyDescent="0.25">
      <c r="A48" s="1"/>
      <c r="B48" s="1"/>
      <c r="C48" s="1"/>
      <c r="D48" s="1"/>
      <c r="E48" s="1"/>
      <c r="F48" s="1"/>
      <c r="G48" s="186" t="s">
        <v>8</v>
      </c>
      <c r="H48" s="189" t="s">
        <v>9</v>
      </c>
      <c r="I48" s="190"/>
      <c r="J48" s="191"/>
      <c r="K48" s="54">
        <f>SUM(E29:E36)</f>
        <v>4.8870000000000005</v>
      </c>
      <c r="L48" s="1"/>
      <c r="M48" s="1"/>
    </row>
    <row r="49" spans="1:14" x14ac:dyDescent="0.25">
      <c r="A49" s="1"/>
      <c r="B49" s="1"/>
      <c r="C49" s="1"/>
      <c r="D49" s="1"/>
      <c r="E49" s="1"/>
      <c r="F49" s="1"/>
      <c r="G49" s="187"/>
      <c r="H49" s="180" t="s">
        <v>10</v>
      </c>
      <c r="I49" s="181"/>
      <c r="J49" s="182"/>
      <c r="K49" s="55">
        <v>0.25</v>
      </c>
      <c r="L49" s="1"/>
      <c r="M49" s="1"/>
    </row>
    <row r="50" spans="1:14" x14ac:dyDescent="0.25">
      <c r="A50" s="1"/>
      <c r="B50" s="1"/>
      <c r="C50" s="1"/>
      <c r="D50" s="1"/>
      <c r="E50" s="1"/>
      <c r="F50" s="1"/>
      <c r="G50" s="187"/>
      <c r="H50" s="180" t="s">
        <v>11</v>
      </c>
      <c r="I50" s="181"/>
      <c r="J50" s="182"/>
      <c r="K50" s="56">
        <f>1/K49</f>
        <v>4</v>
      </c>
      <c r="L50" s="1"/>
      <c r="M50" s="1"/>
    </row>
    <row r="51" spans="1:14" x14ac:dyDescent="0.25">
      <c r="A51" s="1"/>
      <c r="B51" s="1"/>
      <c r="C51" s="1"/>
      <c r="D51" s="1"/>
      <c r="E51" s="1"/>
      <c r="F51" s="1"/>
      <c r="G51" s="187"/>
      <c r="H51" s="180" t="s">
        <v>12</v>
      </c>
      <c r="I51" s="181"/>
      <c r="J51" s="182"/>
      <c r="K51" s="57">
        <f>K48*K50</f>
        <v>19.548000000000002</v>
      </c>
      <c r="L51" s="40"/>
      <c r="M51" s="1"/>
    </row>
    <row r="52" spans="1:14" x14ac:dyDescent="0.25">
      <c r="A52" s="1"/>
      <c r="B52" s="1"/>
      <c r="C52" s="1"/>
      <c r="D52" s="1"/>
      <c r="E52" s="1"/>
      <c r="F52" s="1"/>
      <c r="G52" s="187"/>
      <c r="H52" s="180" t="s">
        <v>13</v>
      </c>
      <c r="I52" s="181"/>
      <c r="J52" s="182"/>
      <c r="K52" s="57">
        <f>K51-K48</f>
        <v>14.661000000000001</v>
      </c>
      <c r="L52" s="1"/>
      <c r="M52" s="1"/>
    </row>
    <row r="53" spans="1:14" x14ac:dyDescent="0.25">
      <c r="A53" s="1"/>
      <c r="B53" s="1"/>
      <c r="C53" s="1"/>
      <c r="D53" s="1"/>
      <c r="E53" s="1"/>
      <c r="F53" s="1"/>
      <c r="G53" s="187"/>
      <c r="H53" s="180" t="s">
        <v>14</v>
      </c>
      <c r="I53" s="181"/>
      <c r="J53" s="182"/>
      <c r="K53" s="55">
        <v>0.13</v>
      </c>
      <c r="L53" s="1"/>
      <c r="M53" s="1"/>
    </row>
    <row r="54" spans="1:14" ht="17.25" thickBot="1" x14ac:dyDescent="0.3">
      <c r="A54" s="1"/>
      <c r="B54" s="1"/>
      <c r="C54" s="1"/>
      <c r="D54" s="1"/>
      <c r="E54" s="1"/>
      <c r="F54" s="1"/>
      <c r="G54" s="188"/>
      <c r="H54" s="192" t="s">
        <v>15</v>
      </c>
      <c r="I54" s="193"/>
      <c r="J54" s="194"/>
      <c r="K54" s="58">
        <f>K51*(1+K53)</f>
        <v>22.08924</v>
      </c>
      <c r="L54" s="1"/>
      <c r="M54" s="1"/>
      <c r="N54" s="18"/>
    </row>
    <row r="55" spans="1:14" x14ac:dyDescent="0.25">
      <c r="A55" s="1"/>
      <c r="B55" s="170"/>
      <c r="C55" s="171"/>
      <c r="D55" s="1"/>
      <c r="E55" s="1"/>
      <c r="F55" s="1"/>
      <c r="G55" s="169"/>
      <c r="H55" s="135"/>
      <c r="I55" s="135"/>
      <c r="J55" s="135"/>
      <c r="K55" s="43"/>
      <c r="L55" s="1"/>
      <c r="M55" s="1"/>
    </row>
    <row r="56" spans="1:14" x14ac:dyDescent="0.25">
      <c r="A56" s="1"/>
      <c r="B56" s="172" t="s">
        <v>16</v>
      </c>
      <c r="C56" s="172"/>
      <c r="D56" s="1"/>
      <c r="E56" s="1"/>
      <c r="F56" s="1"/>
      <c r="G56" s="169"/>
      <c r="H56" s="135"/>
      <c r="I56" s="135"/>
      <c r="J56" s="135"/>
      <c r="K56" s="53"/>
      <c r="L56" s="1"/>
      <c r="M56" s="1"/>
    </row>
    <row r="57" spans="1:14" x14ac:dyDescent="0.25">
      <c r="A57" s="1"/>
      <c r="B57" s="42"/>
      <c r="C57" s="42"/>
      <c r="D57" s="1"/>
      <c r="E57" s="1"/>
      <c r="F57" s="1"/>
      <c r="G57" s="59" t="s">
        <v>17</v>
      </c>
      <c r="H57" s="44"/>
      <c r="I57" s="1"/>
      <c r="J57" s="1"/>
      <c r="K57" s="43"/>
      <c r="L57" s="1"/>
      <c r="M57" s="1"/>
    </row>
    <row r="58" spans="1:14" x14ac:dyDescent="0.25">
      <c r="A58" s="1"/>
      <c r="B58" s="42"/>
      <c r="C58" s="42"/>
      <c r="D58" s="1"/>
      <c r="E58" s="1"/>
      <c r="F58" s="1"/>
      <c r="G58" s="42"/>
      <c r="H58" s="1"/>
      <c r="I58" s="1"/>
      <c r="J58" s="1"/>
      <c r="K58" s="43"/>
      <c r="L58" s="1"/>
      <c r="M58" s="1"/>
    </row>
    <row r="59" spans="1:14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</row>
    <row r="60" spans="1:14" x14ac:dyDescent="0.25">
      <c r="A60" s="163" t="s">
        <v>48</v>
      </c>
      <c r="B60" s="164"/>
      <c r="C60" s="164"/>
      <c r="D60" s="164"/>
      <c r="E60" s="164"/>
      <c r="F60" s="164"/>
      <c r="G60" s="164"/>
      <c r="H60" s="164"/>
      <c r="I60" s="164"/>
      <c r="J60" s="164"/>
      <c r="K60" s="164"/>
      <c r="L60" s="165"/>
      <c r="M60" s="1"/>
    </row>
    <row r="61" spans="1:14" ht="62.25" customHeight="1" x14ac:dyDescent="0.25">
      <c r="A61" s="166"/>
      <c r="B61" s="167"/>
      <c r="C61" s="167"/>
      <c r="D61" s="167"/>
      <c r="E61" s="167"/>
      <c r="F61" s="167"/>
      <c r="G61" s="167"/>
      <c r="H61" s="167"/>
      <c r="I61" s="167"/>
      <c r="J61" s="167"/>
      <c r="K61" s="167"/>
      <c r="L61" s="168"/>
      <c r="M61" s="1"/>
    </row>
    <row r="62" spans="1:14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</row>
    <row r="63" spans="1:14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</row>
  </sheetData>
  <mergeCells count="38">
    <mergeCell ref="A27:B27"/>
    <mergeCell ref="D27:E27"/>
    <mergeCell ref="A1:L4"/>
    <mergeCell ref="C6:E6"/>
    <mergeCell ref="F6:H6"/>
    <mergeCell ref="I6:L6"/>
    <mergeCell ref="F8:H8"/>
    <mergeCell ref="I8:L8"/>
    <mergeCell ref="C10:E10"/>
    <mergeCell ref="G10:H10"/>
    <mergeCell ref="I10:L10"/>
    <mergeCell ref="A12:L12"/>
    <mergeCell ref="A14:L25"/>
    <mergeCell ref="F27:O27"/>
    <mergeCell ref="A38:B38"/>
    <mergeCell ref="D38:F38"/>
    <mergeCell ref="A39:B39"/>
    <mergeCell ref="D40:F40"/>
    <mergeCell ref="A43:L43"/>
    <mergeCell ref="A46:B46"/>
    <mergeCell ref="C46:E46"/>
    <mergeCell ref="F46:G46"/>
    <mergeCell ref="H46:L46"/>
    <mergeCell ref="A44:L45"/>
    <mergeCell ref="A60:L61"/>
    <mergeCell ref="H52:J52"/>
    <mergeCell ref="H53:J53"/>
    <mergeCell ref="H54:J54"/>
    <mergeCell ref="B55:C55"/>
    <mergeCell ref="G55:G56"/>
    <mergeCell ref="H55:J55"/>
    <mergeCell ref="B56:C56"/>
    <mergeCell ref="H56:J56"/>
    <mergeCell ref="G48:G54"/>
    <mergeCell ref="H48:J48"/>
    <mergeCell ref="H49:J49"/>
    <mergeCell ref="H50:J50"/>
    <mergeCell ref="H51:J51"/>
  </mergeCells>
  <conditionalFormatting sqref="C28 F29:F37">
    <cfRule type="cellIs" dxfId="0" priority="1" stopIfTrue="1" operator="equal">
      <formula>"Sim"</formula>
    </cfRule>
  </conditionalFormatting>
  <dataValidations disablePrompts="1" count="1">
    <dataValidation type="list" showInputMessage="1" showErrorMessage="1" sqref="C28 F29:F37" xr:uid="{303E5630-A0D1-4A6E-AABE-C45386B8C82A}">
      <formula1>$M$2:$M$4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13F2D5-8DAC-4C83-9036-24800F6FE76D}">
  <dimension ref="B3:G15"/>
  <sheetViews>
    <sheetView workbookViewId="0">
      <selection activeCell="F22" sqref="F22"/>
    </sheetView>
  </sheetViews>
  <sheetFormatPr defaultRowHeight="11.25" x14ac:dyDescent="0.2"/>
  <cols>
    <col min="1" max="1" width="9.140625" style="70"/>
    <col min="2" max="2" width="11.7109375" style="70" customWidth="1"/>
    <col min="3" max="3" width="10.85546875" style="70" customWidth="1"/>
    <col min="4" max="4" width="15.28515625" style="70" customWidth="1"/>
    <col min="5" max="5" width="19.5703125" style="70" customWidth="1"/>
    <col min="6" max="6" width="9.140625" style="70"/>
    <col min="7" max="7" width="34.140625" style="70" customWidth="1"/>
    <col min="8" max="16384" width="9.140625" style="70"/>
  </cols>
  <sheetData>
    <row r="3" spans="2:7" ht="12" thickBot="1" x14ac:dyDescent="0.25"/>
    <row r="4" spans="2:7" ht="33.75" customHeight="1" thickBot="1" x14ac:dyDescent="0.25">
      <c r="B4" s="72" t="s">
        <v>60</v>
      </c>
      <c r="C4" s="86" t="s">
        <v>25</v>
      </c>
      <c r="D4" s="71" t="s">
        <v>86</v>
      </c>
      <c r="E4" s="71" t="s">
        <v>62</v>
      </c>
      <c r="G4" s="94" t="s">
        <v>87</v>
      </c>
    </row>
    <row r="5" spans="2:7" ht="17.25" customHeight="1" x14ac:dyDescent="0.2">
      <c r="B5" s="95" t="s">
        <v>18</v>
      </c>
      <c r="C5" s="87">
        <f>+'Creme de Tomate e ovo escalfado'!G42</f>
        <v>262.20199999999994</v>
      </c>
      <c r="D5" s="198">
        <f>SUM(C5+C6+C7)</f>
        <v>878.65499999999997</v>
      </c>
      <c r="E5" s="201" t="s">
        <v>61</v>
      </c>
      <c r="G5" s="93"/>
    </row>
    <row r="6" spans="2:7" ht="17.25" customHeight="1" x14ac:dyDescent="0.2">
      <c r="B6" s="74" t="s">
        <v>59</v>
      </c>
      <c r="C6" s="88">
        <f>+'Polvo com batata doce'!G42</f>
        <v>289.19299999999998</v>
      </c>
      <c r="D6" s="199"/>
      <c r="E6" s="202"/>
      <c r="G6" s="93"/>
    </row>
    <row r="7" spans="2:7" ht="17.25" customHeight="1" thickBot="1" x14ac:dyDescent="0.25">
      <c r="B7" s="75" t="s">
        <v>43</v>
      </c>
      <c r="C7" s="89">
        <f>+'Torta de Laranja e alfarroba'!G40</f>
        <v>327.26</v>
      </c>
      <c r="D7" s="200"/>
      <c r="E7" s="203"/>
    </row>
    <row r="8" spans="2:7" ht="15.75" customHeight="1" x14ac:dyDescent="0.2"/>
    <row r="11" spans="2:7" ht="12" thickBot="1" x14ac:dyDescent="0.25"/>
    <row r="12" spans="2:7" ht="45" customHeight="1" thickBot="1" x14ac:dyDescent="0.25">
      <c r="C12" s="73" t="s">
        <v>85</v>
      </c>
      <c r="D12" s="82" t="s">
        <v>88</v>
      </c>
      <c r="E12" s="73" t="s">
        <v>63</v>
      </c>
    </row>
    <row r="13" spans="2:7" ht="16.5" customHeight="1" x14ac:dyDescent="0.2">
      <c r="B13" s="95" t="s">
        <v>18</v>
      </c>
      <c r="C13" s="90">
        <f>+'Creme de Tomate e ovo escalfado'!K50</f>
        <v>3.8236999999999997</v>
      </c>
      <c r="D13" s="83">
        <f>+C13/4</f>
        <v>0.95592499999999991</v>
      </c>
      <c r="E13" s="195">
        <f>SUM(D13,D14,D15,)</f>
        <v>4.7631426071428571</v>
      </c>
    </row>
    <row r="14" spans="2:7" ht="17.25" customHeight="1" x14ac:dyDescent="0.2">
      <c r="B14" s="74" t="s">
        <v>59</v>
      </c>
      <c r="C14" s="91">
        <f>+'Polvo com batata doce'!K50</f>
        <v>6.2181495</v>
      </c>
      <c r="D14" s="84">
        <f>+C14/2</f>
        <v>3.10907475</v>
      </c>
      <c r="E14" s="196"/>
    </row>
    <row r="15" spans="2:7" ht="16.5" customHeight="1" thickBot="1" x14ac:dyDescent="0.25">
      <c r="B15" s="75" t="s">
        <v>43</v>
      </c>
      <c r="C15" s="92">
        <f>+'Torta de Laranja e alfarroba'!K48</f>
        <v>4.8870000000000005</v>
      </c>
      <c r="D15" s="85">
        <f>+C15/7</f>
        <v>0.69814285714285718</v>
      </c>
      <c r="E15" s="197"/>
      <c r="G15" s="70" t="s">
        <v>82</v>
      </c>
    </row>
  </sheetData>
  <mergeCells count="3">
    <mergeCell ref="E13:E15"/>
    <mergeCell ref="D5:D7"/>
    <mergeCell ref="E5:E7"/>
  </mergeCell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BE98A42E4715A4A8C76AA55AAA5D962" ma:contentTypeVersion="4" ma:contentTypeDescription="Create a new document." ma:contentTypeScope="" ma:versionID="ebb01c93966eaeff681a288aa5997726">
  <xsd:schema xmlns:xsd="http://www.w3.org/2001/XMLSchema" xmlns:xs="http://www.w3.org/2001/XMLSchema" xmlns:p="http://schemas.microsoft.com/office/2006/metadata/properties" xmlns:ns3="f1f2b999-95af-4b22-a401-ffa3d268f987" targetNamespace="http://schemas.microsoft.com/office/2006/metadata/properties" ma:root="true" ma:fieldsID="14da7c1fb517a5c9477272e60e8d84fd" ns3:_="">
    <xsd:import namespace="f1f2b999-95af-4b22-a401-ffa3d268f98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f2b999-95af-4b22-a401-ffa3d268f9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DA2A9A2E-B466-4D10-971F-5FFEB6286D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1f2b999-95af-4b22-a401-ffa3d268f98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383127A-C88A-4405-A3C3-C16A9CF9922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5BC28F8-4DD3-4534-A292-7FC02368AD7F}">
  <ds:schemaRefs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http://purl.org/dc/terms/"/>
    <ds:schemaRef ds:uri="http://schemas.microsoft.com/office/infopath/2007/PartnerControls"/>
    <ds:schemaRef ds:uri="f1f2b999-95af-4b22-a401-ffa3d268f987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4</vt:i4>
      </vt:variant>
    </vt:vector>
  </HeadingPairs>
  <TitlesOfParts>
    <vt:vector size="4" baseType="lpstr">
      <vt:lpstr>Creme de Tomate e ovo escalfado</vt:lpstr>
      <vt:lpstr>Polvo com batata doce</vt:lpstr>
      <vt:lpstr>Torta de Laranja e alfarroba</vt:lpstr>
      <vt:lpstr>Cálculos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user0</dc:creator>
  <cp:lastModifiedBy>Elsa Pereira</cp:lastModifiedBy>
  <dcterms:created xsi:type="dcterms:W3CDTF">2021-05-17T16:17:52Z</dcterms:created>
  <dcterms:modified xsi:type="dcterms:W3CDTF">2023-02-16T12:36:11Z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0x010100EBE98A42E4715A4A8C76AA55AAA5D962</vt:lpwstr>
  </property>
</Properties>
</file>