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nior2\Desktop\Documentos a submeter\Eco Ementas_15.02\"/>
    </mc:Choice>
  </mc:AlternateContent>
  <bookViews>
    <workbookView xWindow="0" yWindow="0" windowWidth="19200" windowHeight="7635" activeTab="3"/>
  </bookViews>
  <sheets>
    <sheet name="Ficha Técnica 1_VE" sheetId="2" r:id="rId1"/>
    <sheet name="Ficha Técnica 1_VM" sheetId="6" r:id="rId2"/>
    <sheet name="Ficha Técnica 2_VE" sheetId="3" r:id="rId3"/>
    <sheet name="Ficha Técnica 2_VM" sheetId="5" r:id="rId4"/>
    <sheet name="Ficha Técnica 3_VE" sheetId="4" r:id="rId5"/>
    <sheet name="Ficha Técnica 3_VM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6" l="1"/>
  <c r="C14" i="7"/>
  <c r="C19" i="7" s="1"/>
  <c r="C19" i="6"/>
  <c r="E19" i="7" l="1"/>
  <c r="F19" i="7"/>
  <c r="D19" i="7"/>
  <c r="E19" i="6"/>
  <c r="F19" i="6"/>
  <c r="D19" i="6"/>
  <c r="D25" i="3"/>
  <c r="D19" i="2"/>
  <c r="E19" i="2"/>
  <c r="F19" i="2"/>
  <c r="G19" i="2"/>
  <c r="H19" i="2"/>
  <c r="I19" i="2"/>
  <c r="J19" i="2"/>
  <c r="C19" i="2"/>
  <c r="F13" i="4" l="1"/>
  <c r="G13" i="4"/>
  <c r="J17" i="4"/>
  <c r="I17" i="4"/>
  <c r="G17" i="4"/>
  <c r="F17" i="4"/>
  <c r="E17" i="4"/>
  <c r="D17" i="4"/>
  <c r="I16" i="4"/>
  <c r="I19" i="4" s="1"/>
  <c r="J16" i="4"/>
  <c r="F16" i="4"/>
  <c r="E16" i="4"/>
  <c r="G16" i="4"/>
  <c r="D16" i="4"/>
  <c r="J15" i="4"/>
  <c r="H15" i="4"/>
  <c r="G15" i="4"/>
  <c r="F15" i="4"/>
  <c r="E15" i="4"/>
  <c r="D15" i="4"/>
  <c r="J14" i="4"/>
  <c r="F14" i="4"/>
  <c r="D14" i="4"/>
  <c r="C14" i="4"/>
  <c r="C19" i="4" s="1"/>
  <c r="H12" i="4"/>
  <c r="J12" i="4"/>
  <c r="G12" i="4"/>
  <c r="E12" i="4"/>
  <c r="D12" i="4"/>
  <c r="J22" i="3"/>
  <c r="K22" i="3"/>
  <c r="H22" i="3"/>
  <c r="G22" i="3"/>
  <c r="F22" i="3"/>
  <c r="E22" i="3"/>
  <c r="K20" i="3"/>
  <c r="J20" i="3"/>
  <c r="G20" i="3"/>
  <c r="F18" i="3"/>
  <c r="G18" i="3"/>
  <c r="K18" i="3"/>
  <c r="E18" i="3"/>
  <c r="K17" i="3"/>
  <c r="I17" i="3"/>
  <c r="I25" i="3" s="1"/>
  <c r="H17" i="3"/>
  <c r="G17" i="3"/>
  <c r="E17" i="3"/>
  <c r="K16" i="3"/>
  <c r="K15" i="3"/>
  <c r="J15" i="3"/>
  <c r="H15" i="3"/>
  <c r="G15" i="3"/>
  <c r="F15" i="3"/>
  <c r="E15" i="3"/>
  <c r="J14" i="3"/>
  <c r="K14" i="3"/>
  <c r="G14" i="3"/>
  <c r="F14" i="3"/>
  <c r="E14" i="3"/>
  <c r="J13" i="3"/>
  <c r="J25" i="3" s="1"/>
  <c r="K13" i="3"/>
  <c r="H13" i="3"/>
  <c r="G13" i="3"/>
  <c r="F13" i="3"/>
  <c r="E13" i="3"/>
  <c r="H12" i="3"/>
  <c r="E12" i="3"/>
  <c r="J16" i="2"/>
  <c r="I16" i="2"/>
  <c r="G16" i="2"/>
  <c r="F16" i="2"/>
  <c r="E16" i="2"/>
  <c r="D16" i="2"/>
  <c r="J15" i="2"/>
  <c r="G14" i="2"/>
  <c r="D14" i="2"/>
  <c r="J13" i="2"/>
  <c r="I13" i="2"/>
  <c r="E13" i="2"/>
  <c r="D13" i="2"/>
  <c r="I12" i="2"/>
  <c r="G12" i="2"/>
  <c r="F12" i="2"/>
  <c r="E12" i="2"/>
  <c r="D12" i="2"/>
  <c r="J11" i="2"/>
  <c r="I11" i="2"/>
  <c r="G11" i="2"/>
  <c r="F11" i="2"/>
  <c r="E11" i="2"/>
  <c r="D11" i="2"/>
  <c r="D19" i="4" l="1"/>
  <c r="G19" i="4"/>
  <c r="J19" i="4"/>
  <c r="E19" i="4"/>
  <c r="H19" i="4"/>
  <c r="F19" i="4"/>
  <c r="H25" i="3"/>
  <c r="G25" i="3"/>
  <c r="F25" i="3"/>
  <c r="E25" i="3"/>
  <c r="K25" i="3"/>
</calcChain>
</file>

<file path=xl/sharedStrings.xml><?xml version="1.0" encoding="utf-8"?>
<sst xmlns="http://schemas.openxmlformats.org/spreadsheetml/2006/main" count="120" uniqueCount="47">
  <si>
    <t>Alimento</t>
  </si>
  <si>
    <t>Quantidade (g)</t>
  </si>
  <si>
    <t>Energia (Kcal)</t>
  </si>
  <si>
    <t>Carboidratos (g)</t>
  </si>
  <si>
    <t>Proteina (g)</t>
  </si>
  <si>
    <t>Lipídeos (g)</t>
  </si>
  <si>
    <t>Colesterol (mg)</t>
  </si>
  <si>
    <t>Fibra (g)</t>
  </si>
  <si>
    <t>Sódio (mg)</t>
  </si>
  <si>
    <t>TOTAIS</t>
  </si>
  <si>
    <t>Azeite</t>
  </si>
  <si>
    <t>Fatia de pão saloio</t>
  </si>
  <si>
    <t xml:space="preserve">1 vagem de baunilha </t>
  </si>
  <si>
    <t>2 folhas de gelatina</t>
  </si>
  <si>
    <t>Frutos vermelhos frescos à escolha</t>
  </si>
  <si>
    <t>Hortelã menta</t>
  </si>
  <si>
    <t>Sal</t>
  </si>
  <si>
    <t>Sumo de limão</t>
  </si>
  <si>
    <t>Pão ralado crocante com ervas aromáticas</t>
  </si>
  <si>
    <t>Salsa</t>
  </si>
  <si>
    <t>2 ovos</t>
  </si>
  <si>
    <t>Arroz agulha</t>
  </si>
  <si>
    <t>Lipídos (g)</t>
  </si>
  <si>
    <t>Batata grande</t>
  </si>
  <si>
    <t>Cebola</t>
  </si>
  <si>
    <t>Ervilhas congeladas</t>
  </si>
  <si>
    <t>Dente de alho</t>
  </si>
  <si>
    <t>Cenoura</t>
  </si>
  <si>
    <t>Milho</t>
  </si>
  <si>
    <t>Peito de frango</t>
  </si>
  <si>
    <t>Leite sem lactose</t>
  </si>
  <si>
    <t xml:space="preserve">(Flor de) Sal q.b. </t>
  </si>
  <si>
    <t>Farinha de trigo</t>
  </si>
  <si>
    <t>Iogurtes naturais sem lactose</t>
  </si>
  <si>
    <t>Cálculo Valor Energético</t>
  </si>
  <si>
    <t>Cálculo Valor Monetário</t>
  </si>
  <si>
    <t>Custo Final</t>
  </si>
  <si>
    <t>Peso/Quant.</t>
  </si>
  <si>
    <t>Un.Medida</t>
  </si>
  <si>
    <t>Preço/Kg. Ou Unidade</t>
  </si>
  <si>
    <t>Ficha Técnica - Aveludado de ervilhas com crostons - 4 pessoas</t>
  </si>
  <si>
    <t>Ficha Técnica - Aveludado de ervilhas com crostons - 4 Pessoas</t>
  </si>
  <si>
    <t>Ficha Técnica - Tiras crocantes de frango com arroz primaveril - 4 pessoas</t>
  </si>
  <si>
    <t>Ficha Técnica - Panacota de Iogurte - 4 pessoas</t>
  </si>
  <si>
    <t>Custo Final 4 pessoas</t>
  </si>
  <si>
    <t>Custo Final 2 pessoas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</si>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</sst>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" fillId="2" borderId="0" xfId="0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/>
    <xf numFmtId="0" fontId="1" fillId="2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539300</xdr:colOff>
      <xdr:row>1</xdr:row>
      <xdr:rowOff>85725</xdr:rowOff>
    </xdr:from>
    <xdr:to>
      <xdr:col>9</xdr:col>
      <xdr:colOff>562550</xdr:colOff>
      <xdr:row>4</xdr:row>
      <xdr:rowOff>61395</xdr:rowOff>
    </xdr:to>
    <xdr:pic>
      <xdr:nvPicPr>
        <xdr:cNvPr id="2" name="Picture 5" descr="Programa Eco-Escol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3275" y="276225"/>
          <a:ext cx="59475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1</xdr:row>
      <xdr:rowOff>38100</xdr:rowOff>
    </xdr:from>
    <xdr:to>
      <xdr:col>1</xdr:col>
      <xdr:colOff>1375845</xdr:colOff>
      <xdr:row>4</xdr:row>
      <xdr:rowOff>13770</xdr:rowOff>
    </xdr:to>
    <xdr:pic>
      <xdr:nvPicPr>
        <xdr:cNvPr id="3" name="Imagem 2" descr="\\192.168.1.199\RIO TINTO Dropbox\COMUM\UNIVERSIDADE SÉNIOR DE RIO TINTO\atividades letivas\2018-2019\LOGO US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228600"/>
          <a:ext cx="54717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28575</xdr:rowOff>
    </xdr:from>
    <xdr:to>
      <xdr:col>5</xdr:col>
      <xdr:colOff>632850</xdr:colOff>
      <xdr:row>4</xdr:row>
      <xdr:rowOff>4245</xdr:rowOff>
    </xdr:to>
    <xdr:pic>
      <xdr:nvPicPr>
        <xdr:cNvPr id="2" name="Picture 5" descr="Programa Eco-Escol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219075"/>
          <a:ext cx="59475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</xdr:row>
      <xdr:rowOff>66675</xdr:rowOff>
    </xdr:from>
    <xdr:to>
      <xdr:col>1</xdr:col>
      <xdr:colOff>937695</xdr:colOff>
      <xdr:row>4</xdr:row>
      <xdr:rowOff>42345</xdr:rowOff>
    </xdr:to>
    <xdr:pic>
      <xdr:nvPicPr>
        <xdr:cNvPr id="3" name="Imagem 2" descr="\\192.168.1.199\RIO TINTO Dropbox\COMUM\UNIVERSIDADE SÉNIOR DE RIO TINTO\atividades letivas\2018-2019\LOGO US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54717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177350</xdr:colOff>
      <xdr:row>1</xdr:row>
      <xdr:rowOff>0</xdr:rowOff>
    </xdr:from>
    <xdr:to>
      <xdr:col>10</xdr:col>
      <xdr:colOff>200600</xdr:colOff>
      <xdr:row>3</xdr:row>
      <xdr:rowOff>166170</xdr:rowOff>
    </xdr:to>
    <xdr:pic>
      <xdr:nvPicPr>
        <xdr:cNvPr id="2" name="Picture 5" descr="Programa Eco-Escol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0925" y="190500"/>
          <a:ext cx="59475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0</xdr:row>
      <xdr:rowOff>142875</xdr:rowOff>
    </xdr:from>
    <xdr:to>
      <xdr:col>2</xdr:col>
      <xdr:colOff>1013895</xdr:colOff>
      <xdr:row>3</xdr:row>
      <xdr:rowOff>118545</xdr:rowOff>
    </xdr:to>
    <xdr:pic>
      <xdr:nvPicPr>
        <xdr:cNvPr id="3" name="Imagem 2" descr="\\192.168.1.199\RIO TINTO Dropbox\COMUM\UNIVERSIDADE SÉNIOR DE RIO TINTO\atividades letivas\2018-2019\LOGO US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42875"/>
          <a:ext cx="54717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177350</xdr:colOff>
      <xdr:row>1</xdr:row>
      <xdr:rowOff>0</xdr:rowOff>
    </xdr:from>
    <xdr:to>
      <xdr:col>9</xdr:col>
      <xdr:colOff>200600</xdr:colOff>
      <xdr:row>3</xdr:row>
      <xdr:rowOff>166170</xdr:rowOff>
    </xdr:to>
    <xdr:pic>
      <xdr:nvPicPr>
        <xdr:cNvPr id="2" name="Picture 5" descr="Programa Eco-Escol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0925" y="190500"/>
          <a:ext cx="59475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0</xdr:row>
      <xdr:rowOff>142875</xdr:rowOff>
    </xdr:from>
    <xdr:to>
      <xdr:col>2</xdr:col>
      <xdr:colOff>1013895</xdr:colOff>
      <xdr:row>3</xdr:row>
      <xdr:rowOff>118545</xdr:rowOff>
    </xdr:to>
    <xdr:pic>
      <xdr:nvPicPr>
        <xdr:cNvPr id="3" name="Imagem 2" descr="\\192.168.1.199\RIO TINTO Dropbox\COMUM\UNIVERSIDADE SÉNIOR DE RIO TINTO\atividades letivas\2018-2019\LOGO US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42875"/>
          <a:ext cx="54717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158300</xdr:colOff>
      <xdr:row>1</xdr:row>
      <xdr:rowOff>114300</xdr:rowOff>
    </xdr:from>
    <xdr:to>
      <xdr:col>9</xdr:col>
      <xdr:colOff>181550</xdr:colOff>
      <xdr:row>4</xdr:row>
      <xdr:rowOff>89970</xdr:rowOff>
    </xdr:to>
    <xdr:pic>
      <xdr:nvPicPr>
        <xdr:cNvPr id="2" name="Picture 5" descr="Programa Eco-Escol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2275" y="114300"/>
          <a:ext cx="59475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</xdr:row>
      <xdr:rowOff>66675</xdr:rowOff>
    </xdr:from>
    <xdr:to>
      <xdr:col>1</xdr:col>
      <xdr:colOff>994845</xdr:colOff>
      <xdr:row>4</xdr:row>
      <xdr:rowOff>42345</xdr:rowOff>
    </xdr:to>
    <xdr:pic>
      <xdr:nvPicPr>
        <xdr:cNvPr id="3" name="Imagem 2" descr="\\192.168.1.199\RIO TINTO Dropbox\COMUM\UNIVERSIDADE SÉNIOR DE RIO TINTO\atividades letivas\2018-2019\LOGO US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66675"/>
          <a:ext cx="54717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28575</xdr:rowOff>
    </xdr:from>
    <xdr:to>
      <xdr:col>4</xdr:col>
      <xdr:colOff>385200</xdr:colOff>
      <xdr:row>4</xdr:row>
      <xdr:rowOff>4245</xdr:rowOff>
    </xdr:to>
    <xdr:pic>
      <xdr:nvPicPr>
        <xdr:cNvPr id="2" name="Picture 5" descr="Programa Eco-Escol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19075"/>
          <a:ext cx="59475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1</xdr:row>
      <xdr:rowOff>66675</xdr:rowOff>
    </xdr:from>
    <xdr:to>
      <xdr:col>1</xdr:col>
      <xdr:colOff>994845</xdr:colOff>
      <xdr:row>4</xdr:row>
      <xdr:rowOff>42345</xdr:rowOff>
    </xdr:to>
    <xdr:pic>
      <xdr:nvPicPr>
        <xdr:cNvPr id="3" name="Imagem 2" descr="\\192.168.1.199\RIO TINTO Dropbox\COMUM\UNIVERSIDADE SÉNIOR DE RIO TINTO\atividades letivas\2018-2019\LOGO USRT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57175"/>
          <a:ext cx="547170" cy="54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9"/>
  <sheetViews>
    <sheetView topLeftCell="A4" workbookViewId="0">
      <selection activeCell="D23" sqref="D23"/>
    </sheetView>
  </sheetViews>
  <sheetFormatPr defaultRowHeight="15" x14ac:dyDescent="0.25"/>
  <cols>
    <col min="2" max="2" width="43" bestFit="1" customWidth="1"/>
    <col min="3" max="3" width="14.5703125" bestFit="1" customWidth="1"/>
    <col min="4" max="4" width="13.85546875" bestFit="1" customWidth="1"/>
    <col min="5" max="5" width="15.5703125" bestFit="1" customWidth="1"/>
    <col min="6" max="7" width="11.5703125" bestFit="1" customWidth="1"/>
    <col min="8" max="8" width="14.85546875" bestFit="1" customWidth="1"/>
    <col min="9" max="9" width="8.5703125" bestFit="1" customWidth="1"/>
    <col min="10" max="10" width="10.85546875" bestFit="1" customWidth="1"/>
  </cols>
  <sheetData>
    <row r="6" spans="2:10" x14ac:dyDescent="0.25">
      <c r="B6" s="14" t="s">
        <v>40</v>
      </c>
      <c r="C6" s="14"/>
      <c r="D6" s="14"/>
      <c r="E6" s="14"/>
      <c r="F6" s="14"/>
      <c r="G6" s="14"/>
      <c r="H6" s="14"/>
      <c r="I6" s="14"/>
      <c r="J6" s="14"/>
    </row>
    <row r="7" spans="2:10" x14ac:dyDescent="0.25">
      <c r="B7" s="12"/>
      <c r="C7" s="12"/>
      <c r="D7" s="12"/>
      <c r="E7" s="12"/>
      <c r="F7" s="12"/>
      <c r="G7" s="12"/>
      <c r="H7" s="12"/>
      <c r="I7" s="12"/>
      <c r="J7" s="12"/>
    </row>
    <row r="8" spans="2:10" x14ac:dyDescent="0.25">
      <c r="B8" s="12"/>
      <c r="C8" s="12"/>
      <c r="D8" s="14" t="s">
        <v>34</v>
      </c>
      <c r="E8" s="14"/>
      <c r="F8" s="14"/>
      <c r="G8" s="14"/>
      <c r="H8" s="12"/>
      <c r="I8" s="12"/>
      <c r="J8" s="12"/>
    </row>
    <row r="10" spans="2:10" x14ac:dyDescent="0.25">
      <c r="B10" s="1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22</v>
      </c>
      <c r="H10" s="2" t="s">
        <v>6</v>
      </c>
      <c r="I10" s="2" t="s">
        <v>7</v>
      </c>
      <c r="J10" s="2" t="s">
        <v>8</v>
      </c>
    </row>
    <row r="11" spans="2:10" x14ac:dyDescent="0.25">
      <c r="B11" s="3" t="s">
        <v>25</v>
      </c>
      <c r="C11" s="4">
        <v>400</v>
      </c>
      <c r="D11" s="5">
        <f>72*4</f>
        <v>288</v>
      </c>
      <c r="E11" s="5">
        <f>7.5*4</f>
        <v>30</v>
      </c>
      <c r="F11" s="5">
        <f>5.6*4</f>
        <v>22.4</v>
      </c>
      <c r="G11" s="5">
        <f>0.5*4</f>
        <v>2</v>
      </c>
      <c r="H11" s="5">
        <v>0</v>
      </c>
      <c r="I11" s="5">
        <f>7.3*4</f>
        <v>29.2</v>
      </c>
      <c r="J11" s="5">
        <f>110*4</f>
        <v>440</v>
      </c>
    </row>
    <row r="12" spans="2:10" x14ac:dyDescent="0.25">
      <c r="B12" s="3" t="s">
        <v>24</v>
      </c>
      <c r="C12" s="4">
        <v>50</v>
      </c>
      <c r="D12" s="5">
        <f>20/2</f>
        <v>10</v>
      </c>
      <c r="E12" s="5">
        <f>3.1/2</f>
        <v>1.55</v>
      </c>
      <c r="F12" s="5">
        <f>0.9/2</f>
        <v>0.45</v>
      </c>
      <c r="G12" s="5">
        <f>0.2/2</f>
        <v>0.1</v>
      </c>
      <c r="H12" s="5">
        <v>0</v>
      </c>
      <c r="I12" s="5">
        <f>1.3/2</f>
        <v>0.65</v>
      </c>
      <c r="J12" s="5">
        <v>5</v>
      </c>
    </row>
    <row r="13" spans="2:10" x14ac:dyDescent="0.25">
      <c r="B13" s="3" t="s">
        <v>23</v>
      </c>
      <c r="C13" s="4">
        <v>200</v>
      </c>
      <c r="D13" s="5">
        <f>90*2</f>
        <v>180</v>
      </c>
      <c r="E13" s="5">
        <f>19.2*2</f>
        <v>38.4</v>
      </c>
      <c r="F13" s="5">
        <v>5</v>
      </c>
      <c r="G13" s="5">
        <v>0</v>
      </c>
      <c r="H13" s="5">
        <v>0</v>
      </c>
      <c r="I13" s="5">
        <f>1.6*2</f>
        <v>3.2</v>
      </c>
      <c r="J13" s="5">
        <f>9*2</f>
        <v>18</v>
      </c>
    </row>
    <row r="14" spans="2:10" x14ac:dyDescent="0.25">
      <c r="B14" s="3" t="s">
        <v>10</v>
      </c>
      <c r="C14" s="4">
        <v>10</v>
      </c>
      <c r="D14" s="5">
        <f>899*10/100</f>
        <v>89.9</v>
      </c>
      <c r="E14" s="5">
        <v>0</v>
      </c>
      <c r="F14" s="5">
        <v>0</v>
      </c>
      <c r="G14" s="5">
        <f>99.9*10/100</f>
        <v>9.99</v>
      </c>
      <c r="H14" s="5">
        <v>0</v>
      </c>
      <c r="I14" s="5">
        <v>0</v>
      </c>
      <c r="J14" s="5">
        <v>0</v>
      </c>
    </row>
    <row r="15" spans="2:10" x14ac:dyDescent="0.25">
      <c r="B15" s="3" t="s">
        <v>31</v>
      </c>
      <c r="C15" s="4">
        <v>5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f>4000*5/100</f>
        <v>200</v>
      </c>
    </row>
    <row r="16" spans="2:10" x14ac:dyDescent="0.25">
      <c r="B16" s="3" t="s">
        <v>11</v>
      </c>
      <c r="C16" s="4">
        <v>50</v>
      </c>
      <c r="D16" s="5">
        <f>229/2</f>
        <v>114.5</v>
      </c>
      <c r="E16" s="5">
        <f>41.3/2</f>
        <v>20.65</v>
      </c>
      <c r="F16" s="5">
        <f>7.7/2</f>
        <v>3.85</v>
      </c>
      <c r="G16" s="5">
        <f>2.1/2</f>
        <v>1.05</v>
      </c>
      <c r="H16" s="5">
        <v>0</v>
      </c>
      <c r="I16" s="5">
        <f>7.1/2</f>
        <v>3.55</v>
      </c>
      <c r="J16" s="5">
        <f>220/2</f>
        <v>110</v>
      </c>
    </row>
    <row r="17" spans="2:10" x14ac:dyDescent="0.25">
      <c r="B17" s="3"/>
      <c r="C17" s="4"/>
      <c r="D17" s="5"/>
      <c r="E17" s="5"/>
      <c r="F17" s="5"/>
      <c r="G17" s="5"/>
      <c r="H17" s="5"/>
      <c r="I17" s="5"/>
      <c r="J17" s="5"/>
    </row>
    <row r="18" spans="2:10" x14ac:dyDescent="0.25">
      <c r="B18" s="3"/>
      <c r="C18" s="4"/>
      <c r="D18" s="3"/>
      <c r="E18" s="3"/>
      <c r="F18" s="3"/>
      <c r="G18" s="3"/>
      <c r="H18" s="3"/>
      <c r="I18" s="3"/>
      <c r="J18" s="3"/>
    </row>
    <row r="19" spans="2:10" x14ac:dyDescent="0.25">
      <c r="B19" s="6" t="s">
        <v>9</v>
      </c>
      <c r="C19" s="7">
        <f>SUM(C11:C16)</f>
        <v>715</v>
      </c>
      <c r="D19" s="7">
        <f t="shared" ref="D19:J19" si="0">SUM(D11:D16)</f>
        <v>682.4</v>
      </c>
      <c r="E19" s="7">
        <f t="shared" si="0"/>
        <v>90.6</v>
      </c>
      <c r="F19" s="7">
        <f t="shared" si="0"/>
        <v>31.7</v>
      </c>
      <c r="G19" s="7">
        <f t="shared" si="0"/>
        <v>13.14</v>
      </c>
      <c r="H19" s="7">
        <f t="shared" si="0"/>
        <v>0</v>
      </c>
      <c r="I19" s="7">
        <f t="shared" si="0"/>
        <v>36.599999999999994</v>
      </c>
      <c r="J19" s="7">
        <f t="shared" si="0"/>
        <v>773</v>
      </c>
    </row>
  </sheetData>
  <mergeCells count="2">
    <mergeCell ref="B6:J6"/>
    <mergeCell ref="D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19"/>
  <sheetViews>
    <sheetView workbookViewId="0">
      <selection activeCell="E15" sqref="E15"/>
    </sheetView>
  </sheetViews>
  <sheetFormatPr defaultRowHeight="15" x14ac:dyDescent="0.25"/>
  <cols>
    <col min="2" max="2" width="43" bestFit="1" customWidth="1"/>
    <col min="3" max="3" width="14.5703125" bestFit="1" customWidth="1"/>
    <col min="4" max="4" width="13.85546875" bestFit="1" customWidth="1"/>
    <col min="5" max="5" width="21.5703125" bestFit="1" customWidth="1"/>
    <col min="6" max="7" width="20.7109375" bestFit="1" customWidth="1"/>
  </cols>
  <sheetData>
    <row r="6" spans="2:7" x14ac:dyDescent="0.25">
      <c r="B6" s="14" t="s">
        <v>41</v>
      </c>
      <c r="C6" s="14"/>
      <c r="D6" s="14"/>
      <c r="E6" s="14"/>
      <c r="F6" s="14"/>
    </row>
    <row r="7" spans="2:7" x14ac:dyDescent="0.25">
      <c r="B7" s="12"/>
      <c r="C7" s="12"/>
      <c r="D7" s="12"/>
      <c r="E7" s="12"/>
      <c r="F7" s="12"/>
    </row>
    <row r="8" spans="2:7" x14ac:dyDescent="0.25">
      <c r="B8" s="10" t="s">
        <v>35</v>
      </c>
      <c r="C8" s="10"/>
      <c r="D8" s="10"/>
    </row>
    <row r="10" spans="2:7" x14ac:dyDescent="0.25">
      <c r="B10" s="1" t="s">
        <v>0</v>
      </c>
      <c r="C10" s="10" t="s">
        <v>37</v>
      </c>
      <c r="D10" s="10" t="s">
        <v>38</v>
      </c>
      <c r="E10" s="10" t="s">
        <v>39</v>
      </c>
      <c r="F10" s="10" t="s">
        <v>44</v>
      </c>
      <c r="G10" s="10" t="s">
        <v>45</v>
      </c>
    </row>
    <row r="11" spans="2:7" x14ac:dyDescent="0.25">
      <c r="B11" s="3" t="s">
        <v>25</v>
      </c>
      <c r="C11" s="4">
        <v>400</v>
      </c>
      <c r="D11" s="5" t="s">
        <v>46</v>
      </c>
      <c r="E11" s="5"/>
      <c r="F11" s="5"/>
    </row>
    <row r="12" spans="2:7" x14ac:dyDescent="0.25">
      <c r="B12" s="3" t="s">
        <v>24</v>
      </c>
      <c r="C12" s="4">
        <v>50</v>
      </c>
      <c r="D12" s="5" t="s">
        <v>46</v>
      </c>
      <c r="E12" s="5"/>
      <c r="F12" s="5"/>
    </row>
    <row r="13" spans="2:7" x14ac:dyDescent="0.25">
      <c r="B13" s="3" t="s">
        <v>23</v>
      </c>
      <c r="C13" s="4">
        <v>200</v>
      </c>
      <c r="D13" s="5" t="s">
        <v>46</v>
      </c>
      <c r="E13" s="5"/>
      <c r="F13" s="5"/>
    </row>
    <row r="14" spans="2:7" x14ac:dyDescent="0.25">
      <c r="B14" s="3" t="s">
        <v>10</v>
      </c>
      <c r="C14" s="4">
        <v>10</v>
      </c>
      <c r="D14" s="5" t="s">
        <v>46</v>
      </c>
      <c r="E14" s="5"/>
      <c r="F14" s="5"/>
    </row>
    <row r="15" spans="2:7" x14ac:dyDescent="0.25">
      <c r="B15" s="3" t="s">
        <v>31</v>
      </c>
      <c r="C15" s="4">
        <v>5</v>
      </c>
      <c r="D15" s="5" t="s">
        <v>46</v>
      </c>
      <c r="E15" s="5"/>
      <c r="F15" s="5"/>
    </row>
    <row r="16" spans="2:7" x14ac:dyDescent="0.25">
      <c r="B16" s="3" t="s">
        <v>11</v>
      </c>
      <c r="C16" s="4">
        <v>50</v>
      </c>
      <c r="D16" s="5" t="s">
        <v>46</v>
      </c>
      <c r="E16" s="5"/>
      <c r="F16" s="5"/>
    </row>
    <row r="17" spans="2:7" x14ac:dyDescent="0.25">
      <c r="B17" s="3"/>
      <c r="C17" s="4"/>
      <c r="D17" s="5"/>
      <c r="E17" s="5"/>
      <c r="F17" s="5"/>
    </row>
    <row r="18" spans="2:7" x14ac:dyDescent="0.25">
      <c r="B18" s="3"/>
      <c r="C18" s="4"/>
      <c r="D18" s="3"/>
      <c r="E18" s="3"/>
      <c r="F18" s="3"/>
    </row>
    <row r="19" spans="2:7" x14ac:dyDescent="0.25">
      <c r="B19" s="6" t="s">
        <v>9</v>
      </c>
      <c r="C19" s="7">
        <f>SUM(C11:C16)</f>
        <v>715</v>
      </c>
      <c r="D19" s="7">
        <f t="shared" ref="D19:G19" si="0">SUM(D11:D16)</f>
        <v>0</v>
      </c>
      <c r="E19" s="7">
        <f t="shared" si="0"/>
        <v>0</v>
      </c>
      <c r="F19" s="7">
        <f t="shared" si="0"/>
        <v>0</v>
      </c>
      <c r="G19" s="7">
        <f t="shared" si="0"/>
        <v>0</v>
      </c>
    </row>
  </sheetData>
  <mergeCells count="1">
    <mergeCell ref="B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K25"/>
  <sheetViews>
    <sheetView topLeftCell="A6" workbookViewId="0">
      <selection activeCell="J23" sqref="J23"/>
    </sheetView>
  </sheetViews>
  <sheetFormatPr defaultRowHeight="15" x14ac:dyDescent="0.25"/>
  <cols>
    <col min="3" max="3" width="43" bestFit="1" customWidth="1"/>
    <col min="4" max="4" width="14.5703125" bestFit="1" customWidth="1"/>
    <col min="5" max="5" width="13.85546875" bestFit="1" customWidth="1"/>
    <col min="6" max="6" width="15.5703125" bestFit="1" customWidth="1"/>
    <col min="7" max="8" width="11.5703125" bestFit="1" customWidth="1"/>
    <col min="9" max="9" width="14.85546875" bestFit="1" customWidth="1"/>
    <col min="10" max="10" width="8.5703125" bestFit="1" customWidth="1"/>
    <col min="11" max="11" width="10.85546875" bestFit="1" customWidth="1"/>
  </cols>
  <sheetData>
    <row r="6" spans="3:11" x14ac:dyDescent="0.25">
      <c r="C6" s="14" t="s">
        <v>42</v>
      </c>
      <c r="D6" s="14"/>
      <c r="E6" s="14"/>
      <c r="F6" s="14"/>
      <c r="G6" s="14"/>
      <c r="H6" s="14"/>
      <c r="I6" s="14"/>
      <c r="J6" s="14"/>
      <c r="K6" s="14"/>
    </row>
    <row r="7" spans="3:11" x14ac:dyDescent="0.25">
      <c r="C7" s="11"/>
      <c r="D7" s="11"/>
      <c r="E7" s="11"/>
      <c r="F7" s="11"/>
      <c r="G7" s="11"/>
      <c r="H7" s="11"/>
      <c r="I7" s="11"/>
      <c r="J7" s="11"/>
      <c r="K7" s="11"/>
    </row>
    <row r="8" spans="3:11" x14ac:dyDescent="0.25">
      <c r="C8" s="11"/>
      <c r="D8" s="14" t="s">
        <v>34</v>
      </c>
      <c r="E8" s="14"/>
      <c r="F8" s="14"/>
      <c r="G8" s="14"/>
      <c r="H8" s="11"/>
      <c r="I8" s="11"/>
      <c r="J8" s="11"/>
      <c r="K8" s="11"/>
    </row>
    <row r="10" spans="3:11" x14ac:dyDescent="0.25">
      <c r="C10" s="1" t="s">
        <v>0</v>
      </c>
      <c r="D10" s="8" t="s">
        <v>1</v>
      </c>
      <c r="E10" s="8" t="s">
        <v>2</v>
      </c>
      <c r="F10" s="8" t="s">
        <v>3</v>
      </c>
      <c r="G10" s="8" t="s">
        <v>4</v>
      </c>
      <c r="H10" s="8" t="s">
        <v>22</v>
      </c>
      <c r="I10" s="8" t="s">
        <v>6</v>
      </c>
      <c r="J10" s="8" t="s">
        <v>7</v>
      </c>
      <c r="K10" s="8" t="s">
        <v>8</v>
      </c>
    </row>
    <row r="11" spans="3:11" x14ac:dyDescent="0.25">
      <c r="C11" s="3" t="s">
        <v>21</v>
      </c>
      <c r="D11" s="4">
        <v>100</v>
      </c>
      <c r="E11" s="5">
        <v>347</v>
      </c>
      <c r="F11" s="5">
        <v>78.099999999999994</v>
      </c>
      <c r="G11" s="5">
        <v>6.7</v>
      </c>
      <c r="H11" s="5">
        <v>0.4</v>
      </c>
      <c r="I11" s="5">
        <v>0</v>
      </c>
      <c r="J11" s="5">
        <v>2.1</v>
      </c>
      <c r="K11" s="5">
        <v>6</v>
      </c>
    </row>
    <row r="12" spans="3:11" x14ac:dyDescent="0.25">
      <c r="C12" s="3" t="s">
        <v>10</v>
      </c>
      <c r="D12" s="4">
        <v>10</v>
      </c>
      <c r="E12" s="5">
        <f>899*10/100</f>
        <v>89.9</v>
      </c>
      <c r="F12" s="5">
        <v>0</v>
      </c>
      <c r="G12" s="5">
        <v>0</v>
      </c>
      <c r="H12" s="5">
        <f>99.9*10/100</f>
        <v>9.99</v>
      </c>
      <c r="I12" s="5">
        <v>0</v>
      </c>
      <c r="J12" s="5">
        <v>0</v>
      </c>
      <c r="K12" s="5">
        <v>0</v>
      </c>
    </row>
    <row r="13" spans="3:11" x14ac:dyDescent="0.25">
      <c r="C13" s="3" t="s">
        <v>26</v>
      </c>
      <c r="D13" s="4">
        <v>3</v>
      </c>
      <c r="E13" s="5">
        <f>72*3/100</f>
        <v>2.16</v>
      </c>
      <c r="F13" s="5">
        <f>11.3*3/100</f>
        <v>0.33900000000000008</v>
      </c>
      <c r="G13" s="5">
        <f>3.8*3/100</f>
        <v>0.11399999999999999</v>
      </c>
      <c r="H13" s="5">
        <f>0.6*3/100</f>
        <v>1.7999999999999999E-2</v>
      </c>
      <c r="I13" s="5">
        <v>0</v>
      </c>
      <c r="J13" s="5">
        <f>3*3/100</f>
        <v>0.09</v>
      </c>
      <c r="K13" s="9">
        <f>10*3/100</f>
        <v>0.3</v>
      </c>
    </row>
    <row r="14" spans="3:11" x14ac:dyDescent="0.25">
      <c r="C14" s="3" t="s">
        <v>27</v>
      </c>
      <c r="D14" s="4">
        <v>120</v>
      </c>
      <c r="E14" s="5">
        <f>25*120/100</f>
        <v>30</v>
      </c>
      <c r="F14" s="5">
        <f>4.4*120/100</f>
        <v>5.28</v>
      </c>
      <c r="G14" s="5">
        <f>0.6*120/100</f>
        <v>0.72</v>
      </c>
      <c r="H14" s="5">
        <v>0</v>
      </c>
      <c r="I14" s="5">
        <v>0</v>
      </c>
      <c r="J14" s="5">
        <f>2.6*120/100</f>
        <v>3.12</v>
      </c>
      <c r="K14" s="9">
        <f>58*120/100</f>
        <v>69.599999999999994</v>
      </c>
    </row>
    <row r="15" spans="3:11" x14ac:dyDescent="0.25">
      <c r="C15" s="3" t="s">
        <v>28</v>
      </c>
      <c r="D15" s="4">
        <v>150</v>
      </c>
      <c r="E15" s="5">
        <f>106*150/100</f>
        <v>159</v>
      </c>
      <c r="F15" s="5">
        <f>18.4*150/100</f>
        <v>27.6</v>
      </c>
      <c r="G15" s="5">
        <f>2.8*150/100</f>
        <v>4.2</v>
      </c>
      <c r="H15" s="5">
        <f>1.7*150/100</f>
        <v>2.5499999999999998</v>
      </c>
      <c r="I15" s="5">
        <v>0</v>
      </c>
      <c r="J15" s="5">
        <f>3.1*150/100</f>
        <v>4.6500000000000004</v>
      </c>
      <c r="K15" s="9">
        <f>240*150/100</f>
        <v>360</v>
      </c>
    </row>
    <row r="16" spans="3:11" x14ac:dyDescent="0.25">
      <c r="C16" s="3" t="s">
        <v>16</v>
      </c>
      <c r="D16" s="4">
        <v>5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f>4000*5/100</f>
        <v>200</v>
      </c>
    </row>
    <row r="17" spans="3:11" x14ac:dyDescent="0.25">
      <c r="C17" s="3" t="s">
        <v>29</v>
      </c>
      <c r="D17" s="4">
        <v>150</v>
      </c>
      <c r="E17" s="5">
        <f>196*150/100</f>
        <v>294</v>
      </c>
      <c r="F17" s="5">
        <v>0</v>
      </c>
      <c r="G17" s="5">
        <f>20.4*150/100</f>
        <v>30.6</v>
      </c>
      <c r="H17" s="5">
        <f>12.7*150/100</f>
        <v>19.05</v>
      </c>
      <c r="I17" s="5">
        <f>89*150/100</f>
        <v>133.5</v>
      </c>
      <c r="J17" s="5">
        <v>0</v>
      </c>
      <c r="K17" s="9">
        <f>61*150/100</f>
        <v>91.5</v>
      </c>
    </row>
    <row r="18" spans="3:11" x14ac:dyDescent="0.25">
      <c r="C18" s="3" t="s">
        <v>17</v>
      </c>
      <c r="D18" s="4">
        <v>10</v>
      </c>
      <c r="E18" s="5">
        <f>25*10/100</f>
        <v>2.5</v>
      </c>
      <c r="F18" s="5">
        <f>1.5*10/100</f>
        <v>0.15</v>
      </c>
      <c r="G18" s="5">
        <f>0.3*10/100</f>
        <v>0.03</v>
      </c>
      <c r="H18" s="5">
        <v>0</v>
      </c>
      <c r="I18" s="5">
        <v>0</v>
      </c>
      <c r="J18" s="9">
        <v>0</v>
      </c>
      <c r="K18" s="5">
        <f>2*10/100</f>
        <v>0.2</v>
      </c>
    </row>
    <row r="19" spans="3:11" x14ac:dyDescent="0.25">
      <c r="C19" s="3" t="s">
        <v>18</v>
      </c>
      <c r="D19" s="4">
        <v>100</v>
      </c>
      <c r="E19" s="5">
        <v>359</v>
      </c>
      <c r="F19" s="5">
        <v>71.599999999999994</v>
      </c>
      <c r="G19" s="5">
        <v>11.2</v>
      </c>
      <c r="H19" s="5">
        <v>2.2999999999999998</v>
      </c>
      <c r="I19" s="5">
        <v>0</v>
      </c>
      <c r="J19" s="5">
        <v>3.4</v>
      </c>
      <c r="K19" s="9">
        <v>430</v>
      </c>
    </row>
    <row r="20" spans="3:11" x14ac:dyDescent="0.25">
      <c r="C20" s="3" t="s">
        <v>19</v>
      </c>
      <c r="D20" s="4">
        <v>50</v>
      </c>
      <c r="E20" s="5">
        <v>10</v>
      </c>
      <c r="F20" s="5">
        <v>0.2</v>
      </c>
      <c r="G20" s="5">
        <f>3.1/2</f>
        <v>1.55</v>
      </c>
      <c r="H20" s="5">
        <v>0</v>
      </c>
      <c r="I20" s="5">
        <v>0</v>
      </c>
      <c r="J20" s="5">
        <f>2.9/2</f>
        <v>1.45</v>
      </c>
      <c r="K20" s="9">
        <f>34/2</f>
        <v>17</v>
      </c>
    </row>
    <row r="21" spans="3:11" x14ac:dyDescent="0.25">
      <c r="C21" s="3" t="s">
        <v>20</v>
      </c>
      <c r="D21" s="4">
        <v>100</v>
      </c>
      <c r="E21" s="5">
        <v>149</v>
      </c>
      <c r="F21" s="5">
        <v>0</v>
      </c>
      <c r="G21" s="5">
        <v>13</v>
      </c>
      <c r="H21" s="5">
        <v>10.8</v>
      </c>
      <c r="I21" s="5">
        <v>108</v>
      </c>
      <c r="J21" s="5">
        <v>0</v>
      </c>
      <c r="K21" s="9">
        <v>140</v>
      </c>
    </row>
    <row r="22" spans="3:11" x14ac:dyDescent="0.25">
      <c r="C22" s="3" t="s">
        <v>32</v>
      </c>
      <c r="D22" s="4">
        <v>10</v>
      </c>
      <c r="E22" s="5">
        <f>293*10/100</f>
        <v>29.3</v>
      </c>
      <c r="F22" s="5">
        <f>24.9*10/100</f>
        <v>2.4900000000000002</v>
      </c>
      <c r="G22" s="5">
        <f>16.2*10/100</f>
        <v>1.62</v>
      </c>
      <c r="H22" s="5">
        <f>5.3*10/100</f>
        <v>0.53</v>
      </c>
      <c r="I22" s="5">
        <v>0</v>
      </c>
      <c r="J22" s="5">
        <f>40.2*10/100</f>
        <v>4.0199999999999996</v>
      </c>
      <c r="K22" s="9">
        <f>28*10/100</f>
        <v>2.8</v>
      </c>
    </row>
    <row r="23" spans="3:11" x14ac:dyDescent="0.25">
      <c r="C23" s="3"/>
      <c r="D23" s="4"/>
      <c r="E23" s="5"/>
      <c r="F23" s="5"/>
      <c r="G23" s="5"/>
      <c r="H23" s="5"/>
      <c r="I23" s="5"/>
      <c r="J23" s="5"/>
      <c r="K23" s="9"/>
    </row>
    <row r="24" spans="3:11" x14ac:dyDescent="0.25">
      <c r="C24" s="3"/>
      <c r="D24" s="4"/>
      <c r="E24" s="3"/>
      <c r="F24" s="3"/>
      <c r="G24" s="3"/>
      <c r="H24" s="3"/>
      <c r="I24" s="3"/>
      <c r="J24" s="3"/>
      <c r="K24" s="9"/>
    </row>
    <row r="25" spans="3:11" x14ac:dyDescent="0.25">
      <c r="C25" s="6" t="s">
        <v>9</v>
      </c>
      <c r="D25" s="7">
        <f>SUM(D11:D22)</f>
        <v>808</v>
      </c>
      <c r="E25" s="7">
        <f t="shared" ref="E25:K25" si="0">SUM(E11:E22)</f>
        <v>1471.86</v>
      </c>
      <c r="F25" s="7">
        <f t="shared" si="0"/>
        <v>185.75899999999999</v>
      </c>
      <c r="G25" s="7">
        <f t="shared" si="0"/>
        <v>69.734000000000009</v>
      </c>
      <c r="H25" s="7">
        <f t="shared" si="0"/>
        <v>45.638000000000005</v>
      </c>
      <c r="I25" s="7">
        <f t="shared" si="0"/>
        <v>241.5</v>
      </c>
      <c r="J25" s="7">
        <f t="shared" si="0"/>
        <v>18.829999999999998</v>
      </c>
      <c r="K25" s="7">
        <f t="shared" si="0"/>
        <v>1317.3999999999999</v>
      </c>
    </row>
  </sheetData>
  <mergeCells count="2">
    <mergeCell ref="C6:K6"/>
    <mergeCell ref="D8:G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23"/>
  <sheetViews>
    <sheetView tabSelected="1" topLeftCell="A5" workbookViewId="0">
      <selection activeCell="E26" sqref="E26"/>
    </sheetView>
  </sheetViews>
  <sheetFormatPr defaultRowHeight="15" x14ac:dyDescent="0.25"/>
  <cols>
    <col min="3" max="3" width="43" bestFit="1" customWidth="1"/>
    <col min="4" max="4" width="21.5703125" customWidth="1"/>
    <col min="5" max="5" width="13.85546875" bestFit="1" customWidth="1"/>
    <col min="6" max="6" width="25.42578125" customWidth="1"/>
    <col min="7" max="7" width="24.7109375" customWidth="1"/>
    <col min="8" max="8" width="14.85546875" bestFit="1" customWidth="1"/>
    <col min="9" max="9" width="8.5703125" bestFit="1" customWidth="1"/>
    <col min="10" max="10" width="10.85546875" bestFit="1" customWidth="1"/>
  </cols>
  <sheetData>
    <row r="6" spans="3:10" x14ac:dyDescent="0.25">
      <c r="C6" s="14" t="s">
        <v>42</v>
      </c>
      <c r="D6" s="14"/>
      <c r="E6" s="14"/>
      <c r="F6" s="14"/>
      <c r="G6" s="14"/>
      <c r="H6" s="14"/>
      <c r="I6" s="14"/>
      <c r="J6" s="14"/>
    </row>
    <row r="9" spans="3:10" x14ac:dyDescent="0.25">
      <c r="D9" s="14" t="s">
        <v>35</v>
      </c>
      <c r="E9" s="14"/>
      <c r="F9" s="14"/>
      <c r="G9" s="14"/>
    </row>
    <row r="11" spans="3:10" x14ac:dyDescent="0.25">
      <c r="C11" s="1" t="s">
        <v>0</v>
      </c>
      <c r="D11" s="10" t="s">
        <v>37</v>
      </c>
      <c r="E11" s="10" t="s">
        <v>38</v>
      </c>
      <c r="F11" s="10" t="s">
        <v>39</v>
      </c>
      <c r="G11" s="10" t="s">
        <v>36</v>
      </c>
    </row>
    <row r="12" spans="3:10" x14ac:dyDescent="0.25">
      <c r="C12" s="3" t="s">
        <v>21</v>
      </c>
      <c r="D12" s="4">
        <v>100</v>
      </c>
      <c r="E12" s="5"/>
      <c r="F12" s="5"/>
      <c r="G12" s="5"/>
    </row>
    <row r="13" spans="3:10" x14ac:dyDescent="0.25">
      <c r="C13" s="3" t="s">
        <v>10</v>
      </c>
      <c r="D13" s="4">
        <v>10</v>
      </c>
      <c r="E13" s="5"/>
      <c r="F13" s="5"/>
      <c r="G13" s="5"/>
    </row>
    <row r="14" spans="3:10" x14ac:dyDescent="0.25">
      <c r="C14" s="3" t="s">
        <v>26</v>
      </c>
      <c r="D14" s="4">
        <v>3</v>
      </c>
      <c r="E14" s="5"/>
      <c r="F14" s="5"/>
      <c r="G14" s="5"/>
    </row>
    <row r="15" spans="3:10" x14ac:dyDescent="0.25">
      <c r="C15" s="3" t="s">
        <v>27</v>
      </c>
      <c r="D15" s="4">
        <v>120</v>
      </c>
      <c r="E15" s="5"/>
      <c r="F15" s="5"/>
      <c r="G15" s="5"/>
    </row>
    <row r="16" spans="3:10" x14ac:dyDescent="0.25">
      <c r="C16" s="3" t="s">
        <v>28</v>
      </c>
      <c r="D16" s="4">
        <v>150</v>
      </c>
      <c r="E16" s="5"/>
      <c r="F16" s="5"/>
      <c r="G16" s="5"/>
    </row>
    <row r="17" spans="3:7" x14ac:dyDescent="0.25">
      <c r="C17" s="3" t="s">
        <v>16</v>
      </c>
      <c r="D17" s="4">
        <v>5</v>
      </c>
      <c r="E17" s="5"/>
      <c r="F17" s="5"/>
      <c r="G17" s="5"/>
    </row>
    <row r="18" spans="3:7" x14ac:dyDescent="0.25">
      <c r="C18" s="3" t="s">
        <v>29</v>
      </c>
      <c r="D18" s="4">
        <v>150</v>
      </c>
      <c r="E18" s="5"/>
      <c r="F18" s="5"/>
      <c r="G18" s="5"/>
    </row>
    <row r="19" spans="3:7" x14ac:dyDescent="0.25">
      <c r="C19" s="3" t="s">
        <v>17</v>
      </c>
      <c r="D19" s="4">
        <v>10</v>
      </c>
      <c r="E19" s="5"/>
      <c r="F19" s="5"/>
      <c r="G19" s="5"/>
    </row>
    <row r="20" spans="3:7" x14ac:dyDescent="0.25">
      <c r="C20" s="3" t="s">
        <v>18</v>
      </c>
      <c r="D20" s="4">
        <v>100</v>
      </c>
      <c r="E20" s="5"/>
      <c r="F20" s="5"/>
      <c r="G20" s="5"/>
    </row>
    <row r="21" spans="3:7" x14ac:dyDescent="0.25">
      <c r="C21" s="3" t="s">
        <v>19</v>
      </c>
      <c r="D21" s="4">
        <v>50</v>
      </c>
      <c r="E21" s="5"/>
      <c r="F21" s="5"/>
      <c r="G21" s="5"/>
    </row>
    <row r="22" spans="3:7" x14ac:dyDescent="0.25">
      <c r="C22" s="3" t="s">
        <v>20</v>
      </c>
      <c r="D22" s="4">
        <v>100</v>
      </c>
      <c r="E22" s="5"/>
      <c r="F22" s="5"/>
      <c r="G22" s="5"/>
    </row>
    <row r="23" spans="3:7" x14ac:dyDescent="0.25">
      <c r="C23" s="3" t="s">
        <v>32</v>
      </c>
      <c r="D23" s="4">
        <v>10</v>
      </c>
      <c r="E23" s="5"/>
      <c r="F23" s="5"/>
      <c r="G23" s="5"/>
    </row>
  </sheetData>
  <mergeCells count="2">
    <mergeCell ref="C6:J6"/>
    <mergeCell ref="D9:G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19"/>
  <sheetViews>
    <sheetView workbookViewId="0">
      <selection activeCell="E19" sqref="E19"/>
    </sheetView>
  </sheetViews>
  <sheetFormatPr defaultRowHeight="15" x14ac:dyDescent="0.25"/>
  <cols>
    <col min="2" max="2" width="43" bestFit="1" customWidth="1"/>
    <col min="3" max="3" width="14.5703125" bestFit="1" customWidth="1"/>
    <col min="4" max="4" width="13.85546875" bestFit="1" customWidth="1"/>
    <col min="5" max="5" width="15.5703125" bestFit="1" customWidth="1"/>
    <col min="6" max="7" width="11.5703125" bestFit="1" customWidth="1"/>
    <col min="8" max="8" width="14.85546875" bestFit="1" customWidth="1"/>
    <col min="9" max="9" width="8.5703125" bestFit="1" customWidth="1"/>
    <col min="10" max="10" width="10.85546875" bestFit="1" customWidth="1"/>
  </cols>
  <sheetData>
    <row r="6" spans="2:10" x14ac:dyDescent="0.25">
      <c r="B6" s="14" t="s">
        <v>43</v>
      </c>
      <c r="C6" s="14"/>
      <c r="D6" s="14"/>
      <c r="E6" s="14"/>
      <c r="F6" s="14"/>
      <c r="G6" s="14"/>
      <c r="H6" s="14"/>
      <c r="I6" s="14"/>
      <c r="J6" s="14"/>
    </row>
    <row r="7" spans="2:10" s="13" customFormat="1" x14ac:dyDescent="0.25">
      <c r="B7" s="12"/>
      <c r="C7" s="12"/>
      <c r="D7" s="12"/>
      <c r="E7" s="12"/>
      <c r="F7" s="12"/>
      <c r="G7" s="12"/>
      <c r="H7" s="12"/>
      <c r="I7" s="12"/>
      <c r="J7" s="12"/>
    </row>
    <row r="8" spans="2:10" s="13" customFormat="1" x14ac:dyDescent="0.25">
      <c r="B8" s="12"/>
      <c r="C8" s="14" t="s">
        <v>34</v>
      </c>
      <c r="D8" s="14"/>
      <c r="E8" s="14"/>
      <c r="F8" s="14"/>
      <c r="G8" s="12"/>
      <c r="H8" s="12"/>
      <c r="I8" s="12"/>
      <c r="J8" s="12"/>
    </row>
    <row r="9" spans="2:10" s="13" customFormat="1" x14ac:dyDescent="0.25">
      <c r="B9" s="12"/>
      <c r="C9" s="12"/>
      <c r="D9" s="12"/>
      <c r="E9" s="12"/>
      <c r="F9" s="12"/>
      <c r="G9" s="12"/>
      <c r="H9" s="12"/>
      <c r="I9" s="12"/>
      <c r="J9" s="12"/>
    </row>
    <row r="11" spans="2:10" x14ac:dyDescent="0.25">
      <c r="B11" s="1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  <c r="J11" s="2" t="s">
        <v>8</v>
      </c>
    </row>
    <row r="12" spans="2:10" x14ac:dyDescent="0.25">
      <c r="B12" s="3" t="s">
        <v>30</v>
      </c>
      <c r="C12" s="4">
        <v>200</v>
      </c>
      <c r="D12" s="5">
        <f>62*2</f>
        <v>124</v>
      </c>
      <c r="E12" s="5">
        <f>4.6*2</f>
        <v>9.1999999999999993</v>
      </c>
      <c r="F12" s="5">
        <v>6</v>
      </c>
      <c r="G12" s="5">
        <f>3.5*2</f>
        <v>7</v>
      </c>
      <c r="H12" s="5">
        <f>13*2</f>
        <v>26</v>
      </c>
      <c r="I12" s="5">
        <v>0</v>
      </c>
      <c r="J12" s="5">
        <f>43*2</f>
        <v>86</v>
      </c>
    </row>
    <row r="13" spans="2:10" x14ac:dyDescent="0.25">
      <c r="B13" s="3" t="s">
        <v>12</v>
      </c>
      <c r="C13" s="4">
        <v>4</v>
      </c>
      <c r="D13" s="5">
        <v>11</v>
      </c>
      <c r="E13" s="5">
        <v>2.2000000000000002</v>
      </c>
      <c r="F13" s="5">
        <f>6.2*4/100</f>
        <v>0.248</v>
      </c>
      <c r="G13" s="5">
        <f>11.2*4/100</f>
        <v>0.44799999999999995</v>
      </c>
      <c r="H13" s="5">
        <v>0</v>
      </c>
      <c r="I13" s="5">
        <v>0.8</v>
      </c>
      <c r="J13" s="5">
        <v>0</v>
      </c>
    </row>
    <row r="14" spans="2:10" x14ac:dyDescent="0.25">
      <c r="B14" s="3" t="s">
        <v>13</v>
      </c>
      <c r="C14" s="4">
        <f>1.6*2</f>
        <v>3.2</v>
      </c>
      <c r="D14" s="5">
        <f>349*3.2/100</f>
        <v>11.167999999999999</v>
      </c>
      <c r="E14" s="5">
        <v>0</v>
      </c>
      <c r="F14" s="5">
        <f>87*3.2/100</f>
        <v>2.7840000000000003</v>
      </c>
      <c r="G14" s="5">
        <v>0</v>
      </c>
      <c r="H14" s="5">
        <v>0</v>
      </c>
      <c r="I14" s="5">
        <v>0</v>
      </c>
      <c r="J14" s="5">
        <f>32*3.2/100</f>
        <v>1.024</v>
      </c>
    </row>
    <row r="15" spans="2:10" x14ac:dyDescent="0.25">
      <c r="B15" s="3" t="s">
        <v>33</v>
      </c>
      <c r="C15" s="4">
        <v>250</v>
      </c>
      <c r="D15" s="5">
        <f>41*250/100</f>
        <v>102.5</v>
      </c>
      <c r="E15" s="5">
        <f>5*250/100</f>
        <v>12.5</v>
      </c>
      <c r="F15" s="5">
        <f>4.9*250/100</f>
        <v>12.25</v>
      </c>
      <c r="G15" s="5">
        <f>0.2*250/100</f>
        <v>0.5</v>
      </c>
      <c r="H15" s="5">
        <f>2*250/100</f>
        <v>5</v>
      </c>
      <c r="I15" s="5">
        <v>0</v>
      </c>
      <c r="J15" s="5">
        <f>72*250/100</f>
        <v>180</v>
      </c>
    </row>
    <row r="16" spans="2:10" x14ac:dyDescent="0.25">
      <c r="B16" s="3" t="s">
        <v>14</v>
      </c>
      <c r="C16" s="4">
        <v>150</v>
      </c>
      <c r="D16" s="5">
        <f>49*150/100</f>
        <v>73.5</v>
      </c>
      <c r="E16" s="5">
        <f>5.1*150/100</f>
        <v>7.65</v>
      </c>
      <c r="F16" s="5">
        <f>0.9*150/100</f>
        <v>1.35</v>
      </c>
      <c r="G16" s="5">
        <f>0.6*150/100</f>
        <v>0.9</v>
      </c>
      <c r="H16" s="5">
        <v>0</v>
      </c>
      <c r="I16" s="5">
        <f>6.7*150/100</f>
        <v>10.050000000000001</v>
      </c>
      <c r="J16" s="5">
        <f>1*150/100</f>
        <v>1.5</v>
      </c>
    </row>
    <row r="17" spans="2:10" x14ac:dyDescent="0.25">
      <c r="B17" s="3" t="s">
        <v>15</v>
      </c>
      <c r="C17" s="4">
        <v>10</v>
      </c>
      <c r="D17" s="5">
        <f>51*10/100</f>
        <v>5.0999999999999996</v>
      </c>
      <c r="E17" s="5">
        <f>5.3*10/100</f>
        <v>0.53</v>
      </c>
      <c r="F17" s="5">
        <f>3.8*10/100</f>
        <v>0.38</v>
      </c>
      <c r="G17" s="5">
        <f>0.7*10/100</f>
        <v>7.0000000000000007E-2</v>
      </c>
      <c r="H17" s="5">
        <v>0</v>
      </c>
      <c r="I17" s="5">
        <f>3.9*10/100</f>
        <v>0.39</v>
      </c>
      <c r="J17" s="5">
        <f>15*10/100</f>
        <v>1.5</v>
      </c>
    </row>
    <row r="18" spans="2:10" x14ac:dyDescent="0.25">
      <c r="B18" s="3"/>
      <c r="C18" s="4"/>
      <c r="D18" s="3"/>
      <c r="E18" s="3"/>
      <c r="F18" s="3"/>
      <c r="G18" s="3"/>
      <c r="H18" s="3"/>
      <c r="I18" s="3"/>
      <c r="J18" s="3"/>
    </row>
    <row r="19" spans="2:10" x14ac:dyDescent="0.25">
      <c r="B19" s="6" t="s">
        <v>9</v>
      </c>
      <c r="C19" s="7">
        <f t="shared" ref="C19:J19" si="0">SUM(C12:C17)</f>
        <v>617.20000000000005</v>
      </c>
      <c r="D19" s="7">
        <f t="shared" si="0"/>
        <v>327.26800000000003</v>
      </c>
      <c r="E19" s="7">
        <f t="shared" si="0"/>
        <v>32.08</v>
      </c>
      <c r="F19" s="7">
        <f t="shared" si="0"/>
        <v>23.012</v>
      </c>
      <c r="G19" s="7">
        <f t="shared" si="0"/>
        <v>8.918000000000001</v>
      </c>
      <c r="H19" s="7">
        <f t="shared" si="0"/>
        <v>31</v>
      </c>
      <c r="I19" s="7">
        <f t="shared" si="0"/>
        <v>11.240000000000002</v>
      </c>
      <c r="J19" s="7">
        <f t="shared" si="0"/>
        <v>270.024</v>
      </c>
    </row>
  </sheetData>
  <mergeCells count="2">
    <mergeCell ref="B6:J6"/>
    <mergeCell ref="C8:F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19"/>
  <sheetViews>
    <sheetView workbookViewId="0">
      <selection activeCell="E20" sqref="E20"/>
    </sheetView>
  </sheetViews>
  <sheetFormatPr defaultRowHeight="15" x14ac:dyDescent="0.25"/>
  <cols>
    <col min="2" max="2" width="43" bestFit="1" customWidth="1"/>
    <col min="3" max="3" width="14.5703125" bestFit="1" customWidth="1"/>
    <col min="4" max="4" width="13.85546875" bestFit="1" customWidth="1"/>
    <col min="5" max="5" width="21.5703125" bestFit="1" customWidth="1"/>
    <col min="6" max="6" width="11.5703125" bestFit="1" customWidth="1"/>
  </cols>
  <sheetData>
    <row r="6" spans="2:6" x14ac:dyDescent="0.25">
      <c r="B6" s="14" t="s">
        <v>43</v>
      </c>
      <c r="C6" s="14"/>
      <c r="D6" s="14"/>
      <c r="E6" s="14"/>
      <c r="F6" s="14"/>
    </row>
    <row r="7" spans="2:6" s="13" customFormat="1" x14ac:dyDescent="0.25">
      <c r="B7" s="12"/>
      <c r="C7" s="12"/>
      <c r="D7" s="12"/>
      <c r="E7" s="12"/>
      <c r="F7" s="12"/>
    </row>
    <row r="8" spans="2:6" s="13" customFormat="1" x14ac:dyDescent="0.25">
      <c r="B8" s="10" t="s">
        <v>35</v>
      </c>
      <c r="C8" s="10"/>
      <c r="D8" s="10"/>
      <c r="E8" s="10"/>
    </row>
    <row r="9" spans="2:6" s="13" customFormat="1" x14ac:dyDescent="0.25">
      <c r="B9" s="12"/>
      <c r="C9" s="12"/>
      <c r="D9" s="12"/>
      <c r="E9" s="12"/>
      <c r="F9" s="12"/>
    </row>
    <row r="11" spans="2:6" x14ac:dyDescent="0.25">
      <c r="B11" s="1" t="s">
        <v>0</v>
      </c>
      <c r="C11" s="10" t="s">
        <v>37</v>
      </c>
      <c r="D11" s="10" t="s">
        <v>38</v>
      </c>
      <c r="E11" s="10" t="s">
        <v>39</v>
      </c>
      <c r="F11" s="10" t="s">
        <v>36</v>
      </c>
    </row>
    <row r="12" spans="2:6" x14ac:dyDescent="0.25">
      <c r="B12" s="3" t="s">
        <v>30</v>
      </c>
      <c r="C12" s="4">
        <v>200</v>
      </c>
      <c r="D12" s="5" t="s">
        <v>46</v>
      </c>
      <c r="E12" s="5"/>
      <c r="F12" s="5"/>
    </row>
    <row r="13" spans="2:6" x14ac:dyDescent="0.25">
      <c r="B13" s="3" t="s">
        <v>12</v>
      </c>
      <c r="C13" s="4">
        <v>4</v>
      </c>
      <c r="D13" s="5" t="s">
        <v>46</v>
      </c>
      <c r="E13" s="5"/>
      <c r="F13" s="5"/>
    </row>
    <row r="14" spans="2:6" x14ac:dyDescent="0.25">
      <c r="B14" s="3" t="s">
        <v>13</v>
      </c>
      <c r="C14" s="4">
        <f>1.6*2</f>
        <v>3.2</v>
      </c>
      <c r="D14" s="5" t="s">
        <v>46</v>
      </c>
      <c r="E14" s="5"/>
      <c r="F14" s="5"/>
    </row>
    <row r="15" spans="2:6" x14ac:dyDescent="0.25">
      <c r="B15" s="3" t="s">
        <v>33</v>
      </c>
      <c r="C15" s="4">
        <v>250</v>
      </c>
      <c r="D15" s="5" t="s">
        <v>46</v>
      </c>
      <c r="E15" s="5"/>
      <c r="F15" s="5"/>
    </row>
    <row r="16" spans="2:6" x14ac:dyDescent="0.25">
      <c r="B16" s="3" t="s">
        <v>14</v>
      </c>
      <c r="C16" s="4">
        <v>150</v>
      </c>
      <c r="D16" s="5" t="s">
        <v>46</v>
      </c>
      <c r="E16" s="5"/>
      <c r="F16" s="5"/>
    </row>
    <row r="17" spans="2:6" x14ac:dyDescent="0.25">
      <c r="B17" s="3" t="s">
        <v>15</v>
      </c>
      <c r="C17" s="4">
        <v>10</v>
      </c>
      <c r="D17" s="5" t="s">
        <v>46</v>
      </c>
      <c r="E17" s="5"/>
      <c r="F17" s="5"/>
    </row>
    <row r="18" spans="2:6" x14ac:dyDescent="0.25">
      <c r="B18" s="3"/>
      <c r="C18" s="4"/>
      <c r="D18" s="3"/>
      <c r="E18" s="3"/>
      <c r="F18" s="3"/>
    </row>
    <row r="19" spans="2:6" x14ac:dyDescent="0.25">
      <c r="B19" s="6" t="s">
        <v>9</v>
      </c>
      <c r="C19" s="7">
        <f t="shared" ref="C19:F19" si="0">SUM(C12:C17)</f>
        <v>617.20000000000005</v>
      </c>
      <c r="D19" s="7">
        <f t="shared" si="0"/>
        <v>0</v>
      </c>
      <c r="E19" s="7">
        <f t="shared" si="0"/>
        <v>0</v>
      </c>
      <c r="F19" s="7">
        <f t="shared" si="0"/>
        <v>0</v>
      </c>
    </row>
  </sheetData>
  <mergeCells count="1">
    <mergeCell ref="B6:F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Ficha Técnica 1_VE</vt:lpstr>
      <vt:lpstr>Ficha Técnica 1_VM</vt:lpstr>
      <vt:lpstr>Ficha Técnica 2_VE</vt:lpstr>
      <vt:lpstr>Ficha Técnica 2_VM</vt:lpstr>
      <vt:lpstr>Ficha Técnica 3_VE</vt:lpstr>
      <vt:lpstr>Ficha Técnica 3_VM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usenior2</dc:creator>
  <cp:lastModifiedBy>usenior2</cp:lastModifiedBy>
  <dcterms:created xsi:type="dcterms:W3CDTF">2023-02-14T18:52:46Z</dcterms:created>
  <dcterms:modified xsi:type="dcterms:W3CDTF">2023-02-15T20:29:02Z</dcterms:modified>
</cp:coreProperties>
</file>